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ms-excel.sheet.macroEnabled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ctrlProps/ctrlProp1.xml" ContentType="application/vnd.ms-excel.controlproperties+xml"/>
  <Override PartName="/xl/comments4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omments5.xml" ContentType="application/vnd.openxmlformats-officedocument.spreadsheetml.comment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trlProps/ctrlProp2.xml" ContentType="application/vnd.ms-excel.controlproperties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xl/vbaProject.bin" ContentType="application/vnd.ms-office.vbaPro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 codeName="{DD97A8EA-9A9A-E61F-A557-7D5A7D7259CE}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pCloud\10-Investments\00-大道至簡投資法\EP03-大道至簡投資法(V2.7)-實務演練與問答\"/>
    </mc:Choice>
  </mc:AlternateContent>
  <xr:revisionPtr revIDLastSave="0" documentId="13_ncr:1_{4E03ECDF-A5DD-425A-A422-3B6504A253BC}" xr6:coauthVersionLast="47" xr6:coauthVersionMax="47" xr10:uidLastSave="{00000000-0000-0000-0000-000000000000}"/>
  <bookViews>
    <workbookView xWindow="-110" yWindow="-110" windowWidth="19420" windowHeight="10300" firstSheet="5" activeTab="8" xr2:uid="{00000000-000D-0000-FFFF-FFFF00000000}"/>
  </bookViews>
  <sheets>
    <sheet name="001歷史資料(年)" sheetId="9" r:id="rId1"/>
    <sheet name="002歷史資料(月)" sheetId="1" r:id="rId2"/>
    <sheet name="1.5.3買房" sheetId="13" r:id="rId3"/>
    <sheet name="1.5.3租房投資" sheetId="14" r:id="rId4"/>
    <sheet name="3.5.1定期定額回測" sheetId="4" r:id="rId5"/>
    <sheet name="3.5.2定期定股回測" sheetId="2" r:id="rId6"/>
    <sheet name="4.退休金試算" sheetId="7" r:id="rId7"/>
    <sheet name="5.資產配置回測" sheetId="8" r:id="rId8"/>
    <sheet name="5.回測結果" sheetId="11" r:id="rId9"/>
    <sheet name="5.5技術再平衡" sheetId="10" r:id="rId10"/>
  </sheets>
  <definedNames>
    <definedName name="_xlnm._FilterDatabase" localSheetId="0" hidden="1">'001歷史資料(年)'!$A$2:$K$28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1" l="1"/>
  <c r="F15" i="11"/>
  <c r="E15" i="11"/>
  <c r="D15" i="11"/>
  <c r="C15" i="11"/>
  <c r="B15" i="11"/>
  <c r="M15" i="11" l="1"/>
  <c r="P15" i="11"/>
  <c r="O15" i="11"/>
  <c r="P5" i="8" l="1"/>
  <c r="P4" i="8"/>
  <c r="L5" i="8"/>
  <c r="L4" i="8"/>
  <c r="P6" i="8" l="1"/>
  <c r="L6" i="8"/>
  <c r="C14" i="7"/>
  <c r="C7" i="7"/>
  <c r="C5" i="7"/>
  <c r="C15" i="7" s="1"/>
  <c r="C17" i="7" s="1"/>
  <c r="O4" i="14"/>
  <c r="O3" i="14"/>
  <c r="O2" i="14"/>
  <c r="C20" i="7" l="1"/>
  <c r="C7" i="14"/>
  <c r="C22" i="7" l="1"/>
  <c r="C3" i="14"/>
  <c r="H2" i="14"/>
  <c r="I2" i="14" s="1"/>
  <c r="M5" i="14"/>
  <c r="L5" i="14" s="1"/>
  <c r="O5" i="14" s="1"/>
  <c r="P5" i="14" s="1"/>
  <c r="C5" i="14"/>
  <c r="G2" i="14" s="1"/>
  <c r="N4" i="14"/>
  <c r="K4" i="14"/>
  <c r="P3" i="14"/>
  <c r="M3" i="14"/>
  <c r="K3" i="14"/>
  <c r="F3" i="14"/>
  <c r="M2" i="14"/>
  <c r="N2" i="14" s="1"/>
  <c r="I482" i="13"/>
  <c r="H482" i="13"/>
  <c r="G482" i="13"/>
  <c r="F482" i="13"/>
  <c r="I481" i="13"/>
  <c r="H481" i="13"/>
  <c r="G481" i="13"/>
  <c r="F481" i="13"/>
  <c r="I480" i="13"/>
  <c r="H480" i="13"/>
  <c r="G480" i="13"/>
  <c r="F480" i="13"/>
  <c r="I479" i="13"/>
  <c r="H479" i="13"/>
  <c r="G479" i="13"/>
  <c r="F479" i="13"/>
  <c r="I478" i="13"/>
  <c r="H478" i="13"/>
  <c r="G478" i="13"/>
  <c r="F478" i="13"/>
  <c r="I477" i="13"/>
  <c r="H477" i="13"/>
  <c r="G477" i="13"/>
  <c r="F477" i="13"/>
  <c r="I476" i="13"/>
  <c r="H476" i="13"/>
  <c r="G476" i="13"/>
  <c r="F476" i="13"/>
  <c r="I475" i="13"/>
  <c r="H475" i="13"/>
  <c r="G475" i="13"/>
  <c r="F475" i="13"/>
  <c r="I474" i="13"/>
  <c r="H474" i="13"/>
  <c r="G474" i="13"/>
  <c r="F474" i="13"/>
  <c r="I473" i="13"/>
  <c r="H473" i="13"/>
  <c r="G473" i="13"/>
  <c r="F473" i="13"/>
  <c r="I472" i="13"/>
  <c r="H472" i="13"/>
  <c r="G472" i="13"/>
  <c r="F472" i="13"/>
  <c r="I471" i="13"/>
  <c r="H471" i="13"/>
  <c r="G471" i="13"/>
  <c r="F471" i="13"/>
  <c r="I470" i="13"/>
  <c r="H470" i="13"/>
  <c r="G470" i="13"/>
  <c r="F470" i="13"/>
  <c r="I469" i="13"/>
  <c r="H469" i="13"/>
  <c r="G469" i="13"/>
  <c r="F469" i="13"/>
  <c r="I468" i="13"/>
  <c r="H468" i="13"/>
  <c r="G468" i="13"/>
  <c r="F468" i="13"/>
  <c r="I467" i="13"/>
  <c r="H467" i="13"/>
  <c r="G467" i="13"/>
  <c r="F467" i="13"/>
  <c r="I466" i="13"/>
  <c r="H466" i="13"/>
  <c r="G466" i="13"/>
  <c r="F466" i="13"/>
  <c r="I465" i="13"/>
  <c r="H465" i="13"/>
  <c r="G465" i="13"/>
  <c r="F465" i="13"/>
  <c r="I464" i="13"/>
  <c r="H464" i="13"/>
  <c r="G464" i="13"/>
  <c r="F464" i="13"/>
  <c r="I463" i="13"/>
  <c r="H463" i="13"/>
  <c r="G463" i="13"/>
  <c r="F463" i="13"/>
  <c r="I462" i="13"/>
  <c r="H462" i="13"/>
  <c r="G462" i="13"/>
  <c r="F462" i="13"/>
  <c r="I461" i="13"/>
  <c r="H461" i="13"/>
  <c r="G461" i="13"/>
  <c r="F461" i="13"/>
  <c r="I460" i="13"/>
  <c r="H460" i="13"/>
  <c r="G460" i="13"/>
  <c r="F460" i="13"/>
  <c r="I459" i="13"/>
  <c r="H459" i="13"/>
  <c r="G459" i="13"/>
  <c r="F459" i="13"/>
  <c r="I458" i="13"/>
  <c r="H458" i="13"/>
  <c r="G458" i="13"/>
  <c r="F458" i="13"/>
  <c r="I457" i="13"/>
  <c r="H457" i="13"/>
  <c r="G457" i="13"/>
  <c r="F457" i="13"/>
  <c r="I456" i="13"/>
  <c r="H456" i="13"/>
  <c r="G456" i="13"/>
  <c r="F456" i="13"/>
  <c r="I455" i="13"/>
  <c r="H455" i="13"/>
  <c r="G455" i="13"/>
  <c r="F455" i="13"/>
  <c r="I454" i="13"/>
  <c r="H454" i="13"/>
  <c r="G454" i="13"/>
  <c r="F454" i="13"/>
  <c r="I453" i="13"/>
  <c r="H453" i="13"/>
  <c r="G453" i="13"/>
  <c r="F453" i="13"/>
  <c r="I452" i="13"/>
  <c r="H452" i="13"/>
  <c r="G452" i="13"/>
  <c r="F452" i="13"/>
  <c r="I451" i="13"/>
  <c r="H451" i="13"/>
  <c r="G451" i="13"/>
  <c r="F451" i="13"/>
  <c r="I450" i="13"/>
  <c r="H450" i="13"/>
  <c r="G450" i="13"/>
  <c r="F450" i="13"/>
  <c r="I449" i="13"/>
  <c r="H449" i="13"/>
  <c r="G449" i="13"/>
  <c r="F449" i="13"/>
  <c r="I448" i="13"/>
  <c r="H448" i="13"/>
  <c r="G448" i="13"/>
  <c r="F448" i="13"/>
  <c r="I447" i="13"/>
  <c r="H447" i="13"/>
  <c r="G447" i="13"/>
  <c r="F447" i="13"/>
  <c r="I446" i="13"/>
  <c r="H446" i="13"/>
  <c r="G446" i="13"/>
  <c r="F446" i="13"/>
  <c r="I445" i="13"/>
  <c r="H445" i="13"/>
  <c r="G445" i="13"/>
  <c r="F445" i="13"/>
  <c r="I444" i="13"/>
  <c r="H444" i="13"/>
  <c r="G444" i="13"/>
  <c r="F444" i="13"/>
  <c r="I443" i="13"/>
  <c r="H443" i="13"/>
  <c r="G443" i="13"/>
  <c r="F443" i="13"/>
  <c r="I442" i="13"/>
  <c r="H442" i="13"/>
  <c r="G442" i="13"/>
  <c r="F442" i="13"/>
  <c r="I441" i="13"/>
  <c r="H441" i="13"/>
  <c r="G441" i="13"/>
  <c r="F441" i="13"/>
  <c r="I440" i="13"/>
  <c r="H440" i="13"/>
  <c r="G440" i="13"/>
  <c r="F440" i="13"/>
  <c r="I439" i="13"/>
  <c r="H439" i="13"/>
  <c r="G439" i="13"/>
  <c r="F439" i="13"/>
  <c r="I438" i="13"/>
  <c r="H438" i="13"/>
  <c r="G438" i="13"/>
  <c r="F438" i="13"/>
  <c r="I437" i="13"/>
  <c r="H437" i="13"/>
  <c r="G437" i="13"/>
  <c r="F437" i="13"/>
  <c r="I436" i="13"/>
  <c r="H436" i="13"/>
  <c r="G436" i="13"/>
  <c r="F436" i="13"/>
  <c r="I435" i="13"/>
  <c r="H435" i="13"/>
  <c r="G435" i="13"/>
  <c r="F435" i="13"/>
  <c r="I434" i="13"/>
  <c r="H434" i="13"/>
  <c r="G434" i="13"/>
  <c r="F434" i="13"/>
  <c r="I433" i="13"/>
  <c r="H433" i="13"/>
  <c r="G433" i="13"/>
  <c r="F433" i="13"/>
  <c r="I432" i="13"/>
  <c r="H432" i="13"/>
  <c r="G432" i="13"/>
  <c r="F432" i="13"/>
  <c r="I431" i="13"/>
  <c r="H431" i="13"/>
  <c r="G431" i="13"/>
  <c r="F431" i="13"/>
  <c r="I430" i="13"/>
  <c r="H430" i="13"/>
  <c r="G430" i="13"/>
  <c r="F430" i="13"/>
  <c r="I429" i="13"/>
  <c r="H429" i="13"/>
  <c r="G429" i="13"/>
  <c r="F429" i="13"/>
  <c r="I428" i="13"/>
  <c r="H428" i="13"/>
  <c r="G428" i="13"/>
  <c r="F428" i="13"/>
  <c r="I427" i="13"/>
  <c r="H427" i="13"/>
  <c r="G427" i="13"/>
  <c r="F427" i="13"/>
  <c r="I426" i="13"/>
  <c r="H426" i="13"/>
  <c r="G426" i="13"/>
  <c r="F426" i="13"/>
  <c r="I425" i="13"/>
  <c r="H425" i="13"/>
  <c r="G425" i="13"/>
  <c r="F425" i="13"/>
  <c r="I424" i="13"/>
  <c r="H424" i="13"/>
  <c r="G424" i="13"/>
  <c r="F424" i="13"/>
  <c r="I423" i="13"/>
  <c r="H423" i="13"/>
  <c r="G423" i="13"/>
  <c r="F423" i="13"/>
  <c r="I422" i="13"/>
  <c r="H422" i="13"/>
  <c r="G422" i="13"/>
  <c r="F422" i="13"/>
  <c r="I421" i="13"/>
  <c r="H421" i="13"/>
  <c r="G421" i="13"/>
  <c r="F421" i="13"/>
  <c r="I420" i="13"/>
  <c r="H420" i="13"/>
  <c r="G420" i="13"/>
  <c r="F420" i="13"/>
  <c r="I419" i="13"/>
  <c r="H419" i="13"/>
  <c r="G419" i="13"/>
  <c r="F419" i="13"/>
  <c r="I418" i="13"/>
  <c r="H418" i="13"/>
  <c r="G418" i="13"/>
  <c r="F418" i="13"/>
  <c r="I417" i="13"/>
  <c r="H417" i="13"/>
  <c r="G417" i="13"/>
  <c r="F417" i="13"/>
  <c r="I416" i="13"/>
  <c r="H416" i="13"/>
  <c r="G416" i="13"/>
  <c r="F416" i="13"/>
  <c r="I415" i="13"/>
  <c r="H415" i="13"/>
  <c r="G415" i="13"/>
  <c r="F415" i="13"/>
  <c r="I414" i="13"/>
  <c r="H414" i="13"/>
  <c r="G414" i="13"/>
  <c r="F414" i="13"/>
  <c r="I413" i="13"/>
  <c r="H413" i="13"/>
  <c r="G413" i="13"/>
  <c r="F413" i="13"/>
  <c r="I412" i="13"/>
  <c r="H412" i="13"/>
  <c r="G412" i="13"/>
  <c r="F412" i="13"/>
  <c r="I411" i="13"/>
  <c r="H411" i="13"/>
  <c r="G411" i="13"/>
  <c r="F411" i="13"/>
  <c r="I410" i="13"/>
  <c r="H410" i="13"/>
  <c r="G410" i="13"/>
  <c r="F410" i="13"/>
  <c r="I409" i="13"/>
  <c r="H409" i="13"/>
  <c r="G409" i="13"/>
  <c r="F409" i="13"/>
  <c r="I408" i="13"/>
  <c r="H408" i="13"/>
  <c r="G408" i="13"/>
  <c r="F408" i="13"/>
  <c r="I407" i="13"/>
  <c r="H407" i="13"/>
  <c r="G407" i="13"/>
  <c r="F407" i="13"/>
  <c r="I406" i="13"/>
  <c r="H406" i="13"/>
  <c r="G406" i="13"/>
  <c r="F406" i="13"/>
  <c r="I405" i="13"/>
  <c r="H405" i="13"/>
  <c r="G405" i="13"/>
  <c r="F405" i="13"/>
  <c r="I404" i="13"/>
  <c r="H404" i="13"/>
  <c r="G404" i="13"/>
  <c r="F404" i="13"/>
  <c r="I403" i="13"/>
  <c r="H403" i="13"/>
  <c r="G403" i="13"/>
  <c r="F403" i="13"/>
  <c r="I402" i="13"/>
  <c r="H402" i="13"/>
  <c r="G402" i="13"/>
  <c r="F402" i="13"/>
  <c r="I401" i="13"/>
  <c r="H401" i="13"/>
  <c r="G401" i="13"/>
  <c r="F401" i="13"/>
  <c r="I400" i="13"/>
  <c r="H400" i="13"/>
  <c r="G400" i="13"/>
  <c r="F400" i="13"/>
  <c r="I399" i="13"/>
  <c r="H399" i="13"/>
  <c r="G399" i="13"/>
  <c r="F399" i="13"/>
  <c r="I398" i="13"/>
  <c r="H398" i="13"/>
  <c r="G398" i="13"/>
  <c r="F398" i="13"/>
  <c r="I397" i="13"/>
  <c r="H397" i="13"/>
  <c r="G397" i="13"/>
  <c r="F397" i="13"/>
  <c r="I396" i="13"/>
  <c r="H396" i="13"/>
  <c r="G396" i="13"/>
  <c r="F396" i="13"/>
  <c r="I395" i="13"/>
  <c r="H395" i="13"/>
  <c r="G395" i="13"/>
  <c r="F395" i="13"/>
  <c r="I394" i="13"/>
  <c r="H394" i="13"/>
  <c r="G394" i="13"/>
  <c r="F394" i="13"/>
  <c r="I393" i="13"/>
  <c r="H393" i="13"/>
  <c r="G393" i="13"/>
  <c r="F393" i="13"/>
  <c r="I392" i="13"/>
  <c r="H392" i="13"/>
  <c r="G392" i="13"/>
  <c r="F392" i="13"/>
  <c r="I391" i="13"/>
  <c r="H391" i="13"/>
  <c r="G391" i="13"/>
  <c r="F391" i="13"/>
  <c r="I390" i="13"/>
  <c r="H390" i="13"/>
  <c r="G390" i="13"/>
  <c r="F390" i="13"/>
  <c r="I389" i="13"/>
  <c r="H389" i="13"/>
  <c r="G389" i="13"/>
  <c r="F389" i="13"/>
  <c r="I388" i="13"/>
  <c r="H388" i="13"/>
  <c r="G388" i="13"/>
  <c r="F388" i="13"/>
  <c r="I387" i="13"/>
  <c r="H387" i="13"/>
  <c r="G387" i="13"/>
  <c r="F387" i="13"/>
  <c r="I386" i="13"/>
  <c r="H386" i="13"/>
  <c r="G386" i="13"/>
  <c r="F386" i="13"/>
  <c r="I385" i="13"/>
  <c r="H385" i="13"/>
  <c r="G385" i="13"/>
  <c r="F385" i="13"/>
  <c r="I384" i="13"/>
  <c r="H384" i="13"/>
  <c r="G384" i="13"/>
  <c r="F384" i="13"/>
  <c r="I383" i="13"/>
  <c r="H383" i="13"/>
  <c r="G383" i="13"/>
  <c r="F383" i="13"/>
  <c r="I382" i="13"/>
  <c r="H382" i="13"/>
  <c r="G382" i="13"/>
  <c r="F382" i="13"/>
  <c r="I381" i="13"/>
  <c r="H381" i="13"/>
  <c r="G381" i="13"/>
  <c r="F381" i="13"/>
  <c r="I380" i="13"/>
  <c r="H380" i="13"/>
  <c r="G380" i="13"/>
  <c r="F380" i="13"/>
  <c r="I379" i="13"/>
  <c r="H379" i="13"/>
  <c r="G379" i="13"/>
  <c r="F379" i="13"/>
  <c r="I378" i="13"/>
  <c r="H378" i="13"/>
  <c r="G378" i="13"/>
  <c r="F378" i="13"/>
  <c r="I377" i="13"/>
  <c r="H377" i="13"/>
  <c r="G377" i="13"/>
  <c r="F377" i="13"/>
  <c r="I376" i="13"/>
  <c r="H376" i="13"/>
  <c r="G376" i="13"/>
  <c r="F376" i="13"/>
  <c r="I375" i="13"/>
  <c r="H375" i="13"/>
  <c r="G375" i="13"/>
  <c r="F375" i="13"/>
  <c r="I374" i="13"/>
  <c r="H374" i="13"/>
  <c r="G374" i="13"/>
  <c r="F374" i="13"/>
  <c r="I373" i="13"/>
  <c r="H373" i="13"/>
  <c r="G373" i="13"/>
  <c r="F373" i="13"/>
  <c r="I372" i="13"/>
  <c r="H372" i="13"/>
  <c r="G372" i="13"/>
  <c r="F372" i="13"/>
  <c r="I371" i="13"/>
  <c r="H371" i="13"/>
  <c r="G371" i="13"/>
  <c r="F371" i="13"/>
  <c r="I370" i="13"/>
  <c r="H370" i="13"/>
  <c r="G370" i="13"/>
  <c r="F370" i="13"/>
  <c r="I369" i="13"/>
  <c r="H369" i="13"/>
  <c r="G369" i="13"/>
  <c r="F369" i="13"/>
  <c r="I368" i="13"/>
  <c r="H368" i="13"/>
  <c r="G368" i="13"/>
  <c r="F368" i="13"/>
  <c r="I367" i="13"/>
  <c r="H367" i="13"/>
  <c r="G367" i="13"/>
  <c r="F367" i="13"/>
  <c r="I366" i="13"/>
  <c r="H366" i="13"/>
  <c r="G366" i="13"/>
  <c r="F366" i="13"/>
  <c r="I365" i="13"/>
  <c r="H365" i="13"/>
  <c r="G365" i="13"/>
  <c r="F365" i="13"/>
  <c r="I364" i="13"/>
  <c r="H364" i="13"/>
  <c r="G364" i="13"/>
  <c r="F364" i="13"/>
  <c r="I363" i="13"/>
  <c r="H363" i="13"/>
  <c r="G363" i="13"/>
  <c r="F363" i="13"/>
  <c r="B15" i="13"/>
  <c r="B5" i="13"/>
  <c r="F1" i="13" s="1"/>
  <c r="G3" i="14" l="1"/>
  <c r="P4" i="14"/>
  <c r="P2" i="14"/>
  <c r="F4" i="14"/>
  <c r="F3" i="13"/>
  <c r="B6" i="13"/>
  <c r="F5" i="14" l="1"/>
  <c r="G4" i="14"/>
  <c r="H3" i="13"/>
  <c r="G3" i="13"/>
  <c r="F4" i="13" s="1"/>
  <c r="G5" i="14" l="1"/>
  <c r="F6" i="14"/>
  <c r="H4" i="13"/>
  <c r="G4" i="13"/>
  <c r="F5" i="13" s="1"/>
  <c r="I3" i="13"/>
  <c r="F7" i="14" l="1"/>
  <c r="G6" i="14"/>
  <c r="H5" i="13"/>
  <c r="B9" i="13"/>
  <c r="G5" i="13"/>
  <c r="I4" i="13"/>
  <c r="F8" i="14" l="1"/>
  <c r="G7" i="14"/>
  <c r="G6" i="13"/>
  <c r="I5" i="13"/>
  <c r="F6" i="13"/>
  <c r="F9" i="14" l="1"/>
  <c r="G8" i="14"/>
  <c r="H6" i="13"/>
  <c r="I6" i="13" s="1"/>
  <c r="F7" i="13"/>
  <c r="G7" i="13"/>
  <c r="G9" i="14" l="1"/>
  <c r="F10" i="14"/>
  <c r="G8" i="13"/>
  <c r="H7" i="13"/>
  <c r="I7" i="13" s="1"/>
  <c r="F8" i="13"/>
  <c r="F11" i="14" l="1"/>
  <c r="G10" i="14"/>
  <c r="F9" i="13"/>
  <c r="H8" i="13"/>
  <c r="G9" i="13"/>
  <c r="I8" i="13"/>
  <c r="G11" i="14" l="1"/>
  <c r="F12" i="14"/>
  <c r="G10" i="13"/>
  <c r="F10" i="13"/>
  <c r="H9" i="13"/>
  <c r="I9" i="13" s="1"/>
  <c r="F13" i="14" l="1"/>
  <c r="G12" i="14"/>
  <c r="F11" i="13"/>
  <c r="H10" i="13"/>
  <c r="I10" i="13" s="1"/>
  <c r="G11" i="13"/>
  <c r="F14" i="14" l="1"/>
  <c r="G13" i="14"/>
  <c r="G12" i="13"/>
  <c r="F12" i="13"/>
  <c r="H11" i="13"/>
  <c r="I11" i="13" s="1"/>
  <c r="G14" i="14" l="1"/>
  <c r="F15" i="14"/>
  <c r="H12" i="13"/>
  <c r="I12" i="13" s="1"/>
  <c r="F13" i="13"/>
  <c r="G13" i="13"/>
  <c r="F16" i="14" l="1"/>
  <c r="G15" i="14"/>
  <c r="G14" i="13"/>
  <c r="H13" i="13"/>
  <c r="I13" i="13" s="1"/>
  <c r="F14" i="13"/>
  <c r="F17" i="14" l="1"/>
  <c r="G16" i="14"/>
  <c r="F15" i="13"/>
  <c r="H14" i="13"/>
  <c r="G15" i="13"/>
  <c r="I14" i="13"/>
  <c r="G17" i="14" l="1"/>
  <c r="F18" i="14"/>
  <c r="G16" i="13"/>
  <c r="F16" i="13"/>
  <c r="H15" i="13"/>
  <c r="I15" i="13" s="1"/>
  <c r="G18" i="14" l="1"/>
  <c r="F19" i="14"/>
  <c r="F17" i="13"/>
  <c r="H16" i="13"/>
  <c r="I16" i="13"/>
  <c r="G17" i="13"/>
  <c r="F20" i="14" l="1"/>
  <c r="G19" i="14"/>
  <c r="G18" i="13"/>
  <c r="H17" i="13"/>
  <c r="I17" i="13" s="1"/>
  <c r="F18" i="13"/>
  <c r="G20" i="14" l="1"/>
  <c r="F21" i="14"/>
  <c r="F19" i="13"/>
  <c r="H18" i="13"/>
  <c r="G19" i="13"/>
  <c r="I18" i="13"/>
  <c r="G21" i="14" l="1"/>
  <c r="F22" i="14"/>
  <c r="G20" i="13"/>
  <c r="F20" i="13"/>
  <c r="H19" i="13"/>
  <c r="I19" i="13" s="1"/>
  <c r="F23" i="14" l="1"/>
  <c r="G22" i="14"/>
  <c r="G21" i="13"/>
  <c r="H20" i="13"/>
  <c r="I20" i="13" s="1"/>
  <c r="F21" i="13"/>
  <c r="F24" i="14" l="1"/>
  <c r="G23" i="14"/>
  <c r="F22" i="13"/>
  <c r="H21" i="13"/>
  <c r="I21" i="13" s="1"/>
  <c r="G22" i="13"/>
  <c r="F25" i="14" l="1"/>
  <c r="G24" i="14"/>
  <c r="G23" i="13"/>
  <c r="F23" i="13"/>
  <c r="H22" i="13"/>
  <c r="I22" i="13" s="1"/>
  <c r="F26" i="14" l="1"/>
  <c r="G25" i="14"/>
  <c r="F24" i="13"/>
  <c r="H23" i="13"/>
  <c r="I23" i="13" s="1"/>
  <c r="G24" i="13"/>
  <c r="G26" i="14" l="1"/>
  <c r="F27" i="14"/>
  <c r="G25" i="13"/>
  <c r="F25" i="13"/>
  <c r="H24" i="13"/>
  <c r="I24" i="13" s="1"/>
  <c r="G27" i="14" l="1"/>
  <c r="F28" i="14"/>
  <c r="F26" i="13"/>
  <c r="H25" i="13"/>
  <c r="I25" i="13" s="1"/>
  <c r="G26" i="13"/>
  <c r="F29" i="14" l="1"/>
  <c r="G28" i="14"/>
  <c r="G27" i="13"/>
  <c r="F27" i="13"/>
  <c r="H26" i="13"/>
  <c r="I26" i="13" s="1"/>
  <c r="G29" i="14" l="1"/>
  <c r="F30" i="14"/>
  <c r="F28" i="13"/>
  <c r="H27" i="13"/>
  <c r="I27" i="13" s="1"/>
  <c r="G28" i="13"/>
  <c r="G30" i="14" l="1"/>
  <c r="F31" i="14"/>
  <c r="G29" i="13"/>
  <c r="F29" i="13"/>
  <c r="H28" i="13"/>
  <c r="I28" i="13" s="1"/>
  <c r="F32" i="14" l="1"/>
  <c r="G31" i="14"/>
  <c r="F30" i="13"/>
  <c r="H29" i="13"/>
  <c r="I29" i="13"/>
  <c r="G30" i="13"/>
  <c r="G32" i="14" l="1"/>
  <c r="F33" i="14"/>
  <c r="I32" i="14"/>
  <c r="H32" i="14"/>
  <c r="G31" i="13"/>
  <c r="F31" i="13"/>
  <c r="H30" i="13"/>
  <c r="I30" i="13" s="1"/>
  <c r="H33" i="14" l="1"/>
  <c r="F34" i="14"/>
  <c r="I33" i="14"/>
  <c r="G33" i="14"/>
  <c r="F32" i="13"/>
  <c r="H31" i="13"/>
  <c r="I31" i="13" s="1"/>
  <c r="G32" i="13"/>
  <c r="F35" i="14" l="1"/>
  <c r="I34" i="14"/>
  <c r="H34" i="14"/>
  <c r="G34" i="14"/>
  <c r="G33" i="13"/>
  <c r="H32" i="13"/>
  <c r="I32" i="13" s="1"/>
  <c r="F33" i="13"/>
  <c r="H35" i="14" l="1"/>
  <c r="F36" i="14"/>
  <c r="I35" i="14"/>
  <c r="G35" i="14"/>
  <c r="F34" i="13"/>
  <c r="H33" i="13"/>
  <c r="G34" i="13"/>
  <c r="I33" i="13"/>
  <c r="I36" i="14" l="1"/>
  <c r="G36" i="14"/>
  <c r="F37" i="14"/>
  <c r="H36" i="14"/>
  <c r="G35" i="13"/>
  <c r="F35" i="13"/>
  <c r="H34" i="13"/>
  <c r="I34" i="13" s="1"/>
  <c r="F38" i="14" l="1"/>
  <c r="I37" i="14"/>
  <c r="H37" i="14"/>
  <c r="G37" i="14"/>
  <c r="G36" i="13"/>
  <c r="F36" i="13"/>
  <c r="H35" i="13"/>
  <c r="I35" i="13" s="1"/>
  <c r="H38" i="14" l="1"/>
  <c r="G38" i="14"/>
  <c r="F39" i="14"/>
  <c r="I38" i="14"/>
  <c r="F37" i="13"/>
  <c r="H36" i="13"/>
  <c r="I36" i="13" s="1"/>
  <c r="G37" i="13"/>
  <c r="F40" i="14" l="1"/>
  <c r="I39" i="14"/>
  <c r="G39" i="14"/>
  <c r="H39" i="14"/>
  <c r="G38" i="13"/>
  <c r="H37" i="13"/>
  <c r="I37" i="13" s="1"/>
  <c r="F38" i="13"/>
  <c r="F41" i="14" l="1"/>
  <c r="I40" i="14"/>
  <c r="H40" i="14"/>
  <c r="G40" i="14"/>
  <c r="F39" i="13"/>
  <c r="H38" i="13"/>
  <c r="I38" i="13" s="1"/>
  <c r="G39" i="13"/>
  <c r="I41" i="14" l="1"/>
  <c r="G41" i="14"/>
  <c r="C6" i="14" s="1"/>
  <c r="C8" i="14" s="1"/>
  <c r="H41" i="14"/>
  <c r="G40" i="13"/>
  <c r="F40" i="13"/>
  <c r="H39" i="13"/>
  <c r="I39" i="13" s="1"/>
  <c r="H40" i="13" l="1"/>
  <c r="I40" i="13" s="1"/>
  <c r="F41" i="13"/>
  <c r="G41" i="13"/>
  <c r="C10" i="14" l="1"/>
  <c r="C12" i="14" s="1"/>
  <c r="H3" i="14"/>
  <c r="I3" i="14" s="1"/>
  <c r="G42" i="13"/>
  <c r="F42" i="13"/>
  <c r="H41" i="13"/>
  <c r="I41" i="13" s="1"/>
  <c r="H4" i="14" l="1"/>
  <c r="I4" i="14" s="1"/>
  <c r="H5" i="14" s="1"/>
  <c r="I5" i="14" s="1"/>
  <c r="H6" i="14" s="1"/>
  <c r="I6" i="14" s="1"/>
  <c r="H7" i="14" s="1"/>
  <c r="I7" i="14" s="1"/>
  <c r="H8" i="14" s="1"/>
  <c r="I8" i="14" s="1"/>
  <c r="H9" i="14" s="1"/>
  <c r="I9" i="14" s="1"/>
  <c r="H10" i="14" s="1"/>
  <c r="I10" i="14" s="1"/>
  <c r="H11" i="14" s="1"/>
  <c r="I11" i="14" s="1"/>
  <c r="H12" i="14" s="1"/>
  <c r="I12" i="14" s="1"/>
  <c r="H13" i="14" s="1"/>
  <c r="I13" i="14" s="1"/>
  <c r="H14" i="14" s="1"/>
  <c r="I14" i="14" s="1"/>
  <c r="H15" i="14" s="1"/>
  <c r="I15" i="14" s="1"/>
  <c r="H16" i="14" s="1"/>
  <c r="I16" i="14" s="1"/>
  <c r="H17" i="14" s="1"/>
  <c r="I17" i="14" s="1"/>
  <c r="H18" i="14" s="1"/>
  <c r="I18" i="14" s="1"/>
  <c r="H19" i="14" s="1"/>
  <c r="I19" i="14" s="1"/>
  <c r="H20" i="14" s="1"/>
  <c r="I20" i="14" s="1"/>
  <c r="H21" i="14" s="1"/>
  <c r="I21" i="14" s="1"/>
  <c r="H22" i="14" s="1"/>
  <c r="I22" i="14" s="1"/>
  <c r="H23" i="14" s="1"/>
  <c r="I23" i="14" s="1"/>
  <c r="H24" i="14" s="1"/>
  <c r="I24" i="14" s="1"/>
  <c r="H25" i="14" s="1"/>
  <c r="I25" i="14" s="1"/>
  <c r="H26" i="14" s="1"/>
  <c r="I26" i="14" s="1"/>
  <c r="H27" i="14" s="1"/>
  <c r="I27" i="14" s="1"/>
  <c r="H28" i="14" s="1"/>
  <c r="I28" i="14" s="1"/>
  <c r="H29" i="14" s="1"/>
  <c r="I29" i="14" s="1"/>
  <c r="H30" i="14" s="1"/>
  <c r="I30" i="14" s="1"/>
  <c r="H31" i="14" s="1"/>
  <c r="I31" i="14" s="1"/>
  <c r="F43" i="13"/>
  <c r="H42" i="13"/>
  <c r="I42" i="13" s="1"/>
  <c r="G43" i="13"/>
  <c r="C11" i="14" l="1"/>
  <c r="C13" i="14" s="1"/>
  <c r="G44" i="13"/>
  <c r="F44" i="13"/>
  <c r="H43" i="13"/>
  <c r="I43" i="13" s="1"/>
  <c r="C14" i="14" l="1"/>
  <c r="F45" i="13"/>
  <c r="H44" i="13"/>
  <c r="I44" i="13"/>
  <c r="G45" i="13"/>
  <c r="G46" i="13" l="1"/>
  <c r="F46" i="13"/>
  <c r="H45" i="13"/>
  <c r="I45" i="13" s="1"/>
  <c r="F47" i="13" l="1"/>
  <c r="H46" i="13"/>
  <c r="I46" i="13" s="1"/>
  <c r="G47" i="13"/>
  <c r="G48" i="13" l="1"/>
  <c r="F48" i="13"/>
  <c r="H47" i="13"/>
  <c r="I47" i="13" s="1"/>
  <c r="F49" i="13" l="1"/>
  <c r="H48" i="13"/>
  <c r="I48" i="13"/>
  <c r="G49" i="13"/>
  <c r="G50" i="13" l="1"/>
  <c r="H49" i="13"/>
  <c r="I49" i="13" s="1"/>
  <c r="F50" i="13"/>
  <c r="F51" i="13" l="1"/>
  <c r="H50" i="13"/>
  <c r="I50" i="13" s="1"/>
  <c r="G51" i="13"/>
  <c r="G52" i="13" l="1"/>
  <c r="F52" i="13"/>
  <c r="H51" i="13"/>
  <c r="I51" i="13" s="1"/>
  <c r="H52" i="13" l="1"/>
  <c r="F53" i="13"/>
  <c r="I52" i="13"/>
  <c r="G53" i="13"/>
  <c r="G54" i="13" l="1"/>
  <c r="F54" i="13"/>
  <c r="H53" i="13"/>
  <c r="I53" i="13" s="1"/>
  <c r="F55" i="13" l="1"/>
  <c r="H54" i="13"/>
  <c r="G55" i="13"/>
  <c r="I54" i="13"/>
  <c r="G56" i="13" l="1"/>
  <c r="F56" i="13"/>
  <c r="H55" i="13"/>
  <c r="I55" i="13" s="1"/>
  <c r="F57" i="13" l="1"/>
  <c r="H56" i="13"/>
  <c r="I56" i="13" s="1"/>
  <c r="G57" i="13"/>
  <c r="G58" i="13" l="1"/>
  <c r="F58" i="13"/>
  <c r="H57" i="13"/>
  <c r="I57" i="13" s="1"/>
  <c r="F59" i="13" l="1"/>
  <c r="H58" i="13"/>
  <c r="I58" i="13" s="1"/>
  <c r="G59" i="13"/>
  <c r="G60" i="13" l="1"/>
  <c r="F60" i="13"/>
  <c r="H59" i="13"/>
  <c r="I59" i="13" s="1"/>
  <c r="F61" i="13" l="1"/>
  <c r="H60" i="13"/>
  <c r="G61" i="13"/>
  <c r="I60" i="13"/>
  <c r="G62" i="13" l="1"/>
  <c r="H61" i="13"/>
  <c r="I61" i="13" s="1"/>
  <c r="F62" i="13"/>
  <c r="F63" i="13" l="1"/>
  <c r="H62" i="13"/>
  <c r="I62" i="13"/>
  <c r="G63" i="13"/>
  <c r="G64" i="13" l="1"/>
  <c r="F64" i="13"/>
  <c r="H63" i="13"/>
  <c r="I63" i="13" s="1"/>
  <c r="F65" i="13" l="1"/>
  <c r="H64" i="13"/>
  <c r="I64" i="13"/>
  <c r="G65" i="13"/>
  <c r="G66" i="13" l="1"/>
  <c r="F66" i="13"/>
  <c r="H65" i="13"/>
  <c r="I65" i="13" s="1"/>
  <c r="F67" i="13" l="1"/>
  <c r="H66" i="13"/>
  <c r="I66" i="13" s="1"/>
  <c r="G67" i="13"/>
  <c r="G68" i="13" l="1"/>
  <c r="F68" i="13"/>
  <c r="H67" i="13"/>
  <c r="I67" i="13" s="1"/>
  <c r="H68" i="13" l="1"/>
  <c r="F69" i="13"/>
  <c r="I68" i="13"/>
  <c r="G69" i="13"/>
  <c r="G70" i="13" l="1"/>
  <c r="F70" i="13"/>
  <c r="H69" i="13"/>
  <c r="I69" i="13" s="1"/>
  <c r="F71" i="13" l="1"/>
  <c r="H70" i="13"/>
  <c r="I70" i="13" s="1"/>
  <c r="G71" i="13"/>
  <c r="G72" i="13" l="1"/>
  <c r="F72" i="13"/>
  <c r="H71" i="13"/>
  <c r="I71" i="13" s="1"/>
  <c r="F73" i="13" l="1"/>
  <c r="H72" i="13"/>
  <c r="G73" i="13"/>
  <c r="I72" i="13"/>
  <c r="G74" i="13" l="1"/>
  <c r="H73" i="13"/>
  <c r="I73" i="13" s="1"/>
  <c r="F74" i="13"/>
  <c r="F75" i="13" l="1"/>
  <c r="H74" i="13"/>
  <c r="I74" i="13" s="1"/>
  <c r="G75" i="13"/>
  <c r="G76" i="13" l="1"/>
  <c r="F76" i="13"/>
  <c r="H75" i="13"/>
  <c r="I75" i="13" s="1"/>
  <c r="F77" i="13" l="1"/>
  <c r="H76" i="13"/>
  <c r="I76" i="13" s="1"/>
  <c r="G77" i="13"/>
  <c r="G78" i="13" l="1"/>
  <c r="F78" i="13"/>
  <c r="H77" i="13"/>
  <c r="I77" i="13" s="1"/>
  <c r="F79" i="13" l="1"/>
  <c r="H78" i="13"/>
  <c r="G79" i="13"/>
  <c r="I78" i="13"/>
  <c r="G80" i="13" l="1"/>
  <c r="F80" i="13"/>
  <c r="H79" i="13"/>
  <c r="I79" i="13" s="1"/>
  <c r="H80" i="13" l="1"/>
  <c r="I80" i="13" s="1"/>
  <c r="F81" i="13"/>
  <c r="G81" i="13"/>
  <c r="G82" i="13" l="1"/>
  <c r="F82" i="13"/>
  <c r="H81" i="13"/>
  <c r="I81" i="13" s="1"/>
  <c r="F83" i="13" l="1"/>
  <c r="H82" i="13"/>
  <c r="I82" i="13" s="1"/>
  <c r="G83" i="13"/>
  <c r="G84" i="13" l="1"/>
  <c r="F84" i="13"/>
  <c r="H83" i="13"/>
  <c r="I83" i="13" s="1"/>
  <c r="F85" i="13" l="1"/>
  <c r="H84" i="13"/>
  <c r="I84" i="13" s="1"/>
  <c r="G85" i="13"/>
  <c r="G86" i="13" l="1"/>
  <c r="F86" i="13"/>
  <c r="H85" i="13"/>
  <c r="I85" i="13" s="1"/>
  <c r="F87" i="13" l="1"/>
  <c r="H86" i="13"/>
  <c r="I86" i="13" s="1"/>
  <c r="G87" i="13"/>
  <c r="G88" i="13" l="1"/>
  <c r="F88" i="13"/>
  <c r="H87" i="13"/>
  <c r="I87" i="13" s="1"/>
  <c r="H88" i="13" l="1"/>
  <c r="F89" i="13"/>
  <c r="G89" i="13"/>
  <c r="I88" i="13"/>
  <c r="G90" i="13" l="1"/>
  <c r="F90" i="13"/>
  <c r="H89" i="13"/>
  <c r="I89" i="13" s="1"/>
  <c r="G91" i="13" l="1"/>
  <c r="F91" i="13"/>
  <c r="H90" i="13"/>
  <c r="I90" i="13" s="1"/>
  <c r="F92" i="13" l="1"/>
  <c r="H91" i="13"/>
  <c r="G92" i="13"/>
  <c r="I91" i="13"/>
  <c r="G93" i="13" l="1"/>
  <c r="H92" i="13"/>
  <c r="I92" i="13" s="1"/>
  <c r="F93" i="13"/>
  <c r="F94" i="13" l="1"/>
  <c r="H93" i="13"/>
  <c r="G94" i="13"/>
  <c r="I93" i="13"/>
  <c r="G95" i="13" l="1"/>
  <c r="H94" i="13"/>
  <c r="I94" i="13" s="1"/>
  <c r="F95" i="13"/>
  <c r="F96" i="13" l="1"/>
  <c r="H95" i="13"/>
  <c r="I95" i="13" s="1"/>
  <c r="G96" i="13"/>
  <c r="G97" i="13" l="1"/>
  <c r="F97" i="13"/>
  <c r="H96" i="13"/>
  <c r="I96" i="13" s="1"/>
  <c r="F98" i="13" l="1"/>
  <c r="H97" i="13"/>
  <c r="G98" i="13"/>
  <c r="I97" i="13"/>
  <c r="G99" i="13" l="1"/>
  <c r="F99" i="13"/>
  <c r="H98" i="13"/>
  <c r="I98" i="13" s="1"/>
  <c r="F100" i="13" l="1"/>
  <c r="H99" i="13"/>
  <c r="G100" i="13"/>
  <c r="I99" i="13"/>
  <c r="G101" i="13" l="1"/>
  <c r="F101" i="13"/>
  <c r="H100" i="13"/>
  <c r="I100" i="13" s="1"/>
  <c r="F102" i="13" l="1"/>
  <c r="H101" i="13"/>
  <c r="I101" i="13"/>
  <c r="G102" i="13"/>
  <c r="G103" i="13" l="1"/>
  <c r="F103" i="13"/>
  <c r="H102" i="13"/>
  <c r="I102" i="13" s="1"/>
  <c r="F104" i="13" l="1"/>
  <c r="H103" i="13"/>
  <c r="I103" i="13" s="1"/>
  <c r="G104" i="13"/>
  <c r="G105" i="13" l="1"/>
  <c r="F105" i="13"/>
  <c r="H104" i="13"/>
  <c r="I104" i="13" s="1"/>
  <c r="G106" i="13" l="1"/>
  <c r="F106" i="13"/>
  <c r="H105" i="13"/>
  <c r="I105" i="13" s="1"/>
  <c r="F107" i="13" l="1"/>
  <c r="H106" i="13"/>
  <c r="I106" i="13" s="1"/>
  <c r="G107" i="13"/>
  <c r="G108" i="13" l="1"/>
  <c r="F108" i="13"/>
  <c r="H107" i="13"/>
  <c r="I107" i="13" s="1"/>
  <c r="F109" i="13" l="1"/>
  <c r="H108" i="13"/>
  <c r="I108" i="13" s="1"/>
  <c r="G109" i="13"/>
  <c r="G110" i="13" l="1"/>
  <c r="F110" i="13"/>
  <c r="H109" i="13"/>
  <c r="I109" i="13" s="1"/>
  <c r="F111" i="13" l="1"/>
  <c r="H110" i="13"/>
  <c r="I110" i="13" s="1"/>
  <c r="G111" i="13"/>
  <c r="G112" i="13" l="1"/>
  <c r="F112" i="13"/>
  <c r="H111" i="13"/>
  <c r="I111" i="13" s="1"/>
  <c r="H112" i="13" l="1"/>
  <c r="F113" i="13"/>
  <c r="G113" i="13"/>
  <c r="I112" i="13"/>
  <c r="G114" i="13" l="1"/>
  <c r="H113" i="13"/>
  <c r="I113" i="13" s="1"/>
  <c r="F114" i="13"/>
  <c r="F115" i="13" l="1"/>
  <c r="H114" i="13"/>
  <c r="I114" i="13" s="1"/>
  <c r="G115" i="13"/>
  <c r="G116" i="13" l="1"/>
  <c r="F116" i="13"/>
  <c r="H115" i="13"/>
  <c r="I115" i="13" s="1"/>
  <c r="F117" i="13" l="1"/>
  <c r="H116" i="13"/>
  <c r="I116" i="13" s="1"/>
  <c r="G117" i="13"/>
  <c r="G118" i="13" l="1"/>
  <c r="H117" i="13"/>
  <c r="I117" i="13" s="1"/>
  <c r="F118" i="13"/>
  <c r="F119" i="13" l="1"/>
  <c r="H118" i="13"/>
  <c r="I118" i="13" s="1"/>
  <c r="G119" i="13"/>
  <c r="G120" i="13" l="1"/>
  <c r="F120" i="13"/>
  <c r="H119" i="13"/>
  <c r="I119" i="13" s="1"/>
  <c r="F121" i="13" l="1"/>
  <c r="H120" i="13"/>
  <c r="I120" i="13" s="1"/>
  <c r="G121" i="13"/>
  <c r="G122" i="13" l="1"/>
  <c r="F122" i="13"/>
  <c r="H121" i="13"/>
  <c r="I121" i="13" s="1"/>
  <c r="F123" i="13" l="1"/>
  <c r="H122" i="13"/>
  <c r="I122" i="13" s="1"/>
  <c r="G123" i="13"/>
  <c r="G124" i="13" l="1"/>
  <c r="H123" i="13"/>
  <c r="I123" i="13" s="1"/>
  <c r="F124" i="13"/>
  <c r="F125" i="13" l="1"/>
  <c r="H124" i="13"/>
  <c r="G125" i="13"/>
  <c r="I124" i="13"/>
  <c r="G126" i="13" l="1"/>
  <c r="H125" i="13"/>
  <c r="I125" i="13" s="1"/>
  <c r="F126" i="13"/>
  <c r="F127" i="13" l="1"/>
  <c r="H126" i="13"/>
  <c r="I126" i="13" s="1"/>
  <c r="G127" i="13"/>
  <c r="G128" i="13" l="1"/>
  <c r="H127" i="13"/>
  <c r="I127" i="13" s="1"/>
  <c r="F128" i="13"/>
  <c r="H128" i="13" l="1"/>
  <c r="I128" i="13" s="1"/>
  <c r="F129" i="13"/>
  <c r="G129" i="13"/>
  <c r="G130" i="13" l="1"/>
  <c r="F130" i="13"/>
  <c r="H129" i="13"/>
  <c r="I129" i="13" s="1"/>
  <c r="H130" i="13" l="1"/>
  <c r="F131" i="13"/>
  <c r="I130" i="13"/>
  <c r="G131" i="13"/>
  <c r="G132" i="13" l="1"/>
  <c r="F132" i="13"/>
  <c r="H131" i="13"/>
  <c r="I131" i="13" s="1"/>
  <c r="F133" i="13" l="1"/>
  <c r="H132" i="13"/>
  <c r="I132" i="13" s="1"/>
  <c r="G133" i="13"/>
  <c r="G134" i="13" l="1"/>
  <c r="F134" i="13"/>
  <c r="H133" i="13"/>
  <c r="I133" i="13" s="1"/>
  <c r="F135" i="13" l="1"/>
  <c r="H134" i="13"/>
  <c r="G135" i="13"/>
  <c r="I134" i="13"/>
  <c r="G136" i="13" l="1"/>
  <c r="F136" i="13"/>
  <c r="H135" i="13"/>
  <c r="I135" i="13" s="1"/>
  <c r="H136" i="13" l="1"/>
  <c r="I136" i="13" s="1"/>
  <c r="F137" i="13"/>
  <c r="G137" i="13"/>
  <c r="G138" i="13" l="1"/>
  <c r="F138" i="13"/>
  <c r="H137" i="13"/>
  <c r="I137" i="13" s="1"/>
  <c r="H138" i="13" l="1"/>
  <c r="F139" i="13"/>
  <c r="I138" i="13"/>
  <c r="G139" i="13"/>
  <c r="G140" i="13" l="1"/>
  <c r="F140" i="13"/>
  <c r="H139" i="13"/>
  <c r="I139" i="13" s="1"/>
  <c r="G141" i="13" l="1"/>
  <c r="H140" i="13"/>
  <c r="I140" i="13" s="1"/>
  <c r="F141" i="13"/>
  <c r="H141" i="13" l="1"/>
  <c r="I141" i="13" s="1"/>
  <c r="F142" i="13"/>
  <c r="G142" i="13"/>
  <c r="G143" i="13" l="1"/>
  <c r="F143" i="13"/>
  <c r="H142" i="13"/>
  <c r="I142" i="13" s="1"/>
  <c r="F144" i="13" l="1"/>
  <c r="H143" i="13"/>
  <c r="I143" i="13"/>
  <c r="G144" i="13"/>
  <c r="G145" i="13" l="1"/>
  <c r="F145" i="13"/>
  <c r="H144" i="13"/>
  <c r="I144" i="13" s="1"/>
  <c r="F146" i="13" l="1"/>
  <c r="H145" i="13"/>
  <c r="G146" i="13"/>
  <c r="I145" i="13"/>
  <c r="G147" i="13" l="1"/>
  <c r="F147" i="13"/>
  <c r="H146" i="13"/>
  <c r="I146" i="13" s="1"/>
  <c r="F148" i="13" l="1"/>
  <c r="H147" i="13"/>
  <c r="I147" i="13"/>
  <c r="G148" i="13"/>
  <c r="G149" i="13" l="1"/>
  <c r="H148" i="13"/>
  <c r="I148" i="13" s="1"/>
  <c r="F149" i="13"/>
  <c r="H149" i="13" l="1"/>
  <c r="F150" i="13"/>
  <c r="G150" i="13"/>
  <c r="I149" i="13"/>
  <c r="G151" i="13" l="1"/>
  <c r="F151" i="13"/>
  <c r="H150" i="13"/>
  <c r="I150" i="13" s="1"/>
  <c r="H151" i="13" l="1"/>
  <c r="F152" i="13"/>
  <c r="I151" i="13"/>
  <c r="G152" i="13"/>
  <c r="G153" i="13" l="1"/>
  <c r="F153" i="13"/>
  <c r="H152" i="13"/>
  <c r="I152" i="13" s="1"/>
  <c r="H153" i="13" l="1"/>
  <c r="F154" i="13"/>
  <c r="I153" i="13"/>
  <c r="G154" i="13"/>
  <c r="G155" i="13" l="1"/>
  <c r="F155" i="13"/>
  <c r="H154" i="13"/>
  <c r="I154" i="13" s="1"/>
  <c r="F156" i="13" l="1"/>
  <c r="H155" i="13"/>
  <c r="I155" i="13" s="1"/>
  <c r="G156" i="13"/>
  <c r="G157" i="13" l="1"/>
  <c r="F157" i="13"/>
  <c r="H156" i="13"/>
  <c r="I156" i="13" s="1"/>
  <c r="F158" i="13" l="1"/>
  <c r="H157" i="13"/>
  <c r="G158" i="13"/>
  <c r="I157" i="13"/>
  <c r="G159" i="13" l="1"/>
  <c r="F159" i="13"/>
  <c r="H158" i="13"/>
  <c r="I158" i="13" s="1"/>
  <c r="H159" i="13" l="1"/>
  <c r="I159" i="13" s="1"/>
  <c r="F160" i="13"/>
  <c r="G160" i="13"/>
  <c r="G161" i="13" l="1"/>
  <c r="F161" i="13"/>
  <c r="H160" i="13"/>
  <c r="I160" i="13" s="1"/>
  <c r="H161" i="13" l="1"/>
  <c r="F162" i="13"/>
  <c r="G162" i="13"/>
  <c r="I161" i="13"/>
  <c r="G163" i="13" l="1"/>
  <c r="F163" i="13"/>
  <c r="H162" i="13"/>
  <c r="I162" i="13" s="1"/>
  <c r="H163" i="13" l="1"/>
  <c r="I163" i="13" s="1"/>
  <c r="F164" i="13"/>
  <c r="G164" i="13"/>
  <c r="G165" i="13" l="1"/>
  <c r="H164" i="13"/>
  <c r="I164" i="13" s="1"/>
  <c r="F165" i="13"/>
  <c r="F166" i="13" l="1"/>
  <c r="H165" i="13"/>
  <c r="I165" i="13" s="1"/>
  <c r="G166" i="13"/>
  <c r="G167" i="13" l="1"/>
  <c r="F167" i="13"/>
  <c r="H166" i="13"/>
  <c r="I166" i="13" s="1"/>
  <c r="F168" i="13" l="1"/>
  <c r="H167" i="13"/>
  <c r="I167" i="13" s="1"/>
  <c r="G168" i="13"/>
  <c r="G169" i="13" l="1"/>
  <c r="F169" i="13"/>
  <c r="H168" i="13"/>
  <c r="I168" i="13" s="1"/>
  <c r="F170" i="13" l="1"/>
  <c r="H169" i="13"/>
  <c r="G170" i="13"/>
  <c r="I169" i="13"/>
  <c r="G171" i="13" l="1"/>
  <c r="F171" i="13"/>
  <c r="H170" i="13"/>
  <c r="I170" i="13" s="1"/>
  <c r="F172" i="13" l="1"/>
  <c r="H171" i="13"/>
  <c r="I171" i="13" s="1"/>
  <c r="G172" i="13"/>
  <c r="G173" i="13" l="1"/>
  <c r="H172" i="13"/>
  <c r="I172" i="13" s="1"/>
  <c r="F173" i="13"/>
  <c r="F174" i="13" l="1"/>
  <c r="H173" i="13"/>
  <c r="G174" i="13"/>
  <c r="I173" i="13"/>
  <c r="G175" i="13" l="1"/>
  <c r="H174" i="13"/>
  <c r="I174" i="13" s="1"/>
  <c r="F175" i="13"/>
  <c r="F176" i="13" l="1"/>
  <c r="H175" i="13"/>
  <c r="I175" i="13" s="1"/>
  <c r="G176" i="13"/>
  <c r="G177" i="13" l="1"/>
  <c r="H176" i="13"/>
  <c r="I176" i="13" s="1"/>
  <c r="F177" i="13"/>
  <c r="H177" i="13" l="1"/>
  <c r="F178" i="13"/>
  <c r="I177" i="13"/>
  <c r="G178" i="13"/>
  <c r="G179" i="13" l="1"/>
  <c r="F179" i="13"/>
  <c r="H178" i="13"/>
  <c r="I178" i="13" s="1"/>
  <c r="F180" i="13" l="1"/>
  <c r="H179" i="13"/>
  <c r="I179" i="13" s="1"/>
  <c r="G180" i="13"/>
  <c r="G181" i="13" l="1"/>
  <c r="F181" i="13"/>
  <c r="H180" i="13"/>
  <c r="I180" i="13" s="1"/>
  <c r="F182" i="13" l="1"/>
  <c r="H181" i="13"/>
  <c r="G182" i="13"/>
  <c r="I181" i="13"/>
  <c r="G183" i="13" l="1"/>
  <c r="F183" i="13"/>
  <c r="H182" i="13"/>
  <c r="I182" i="13" s="1"/>
  <c r="G184" i="13" l="1"/>
  <c r="H183" i="13"/>
  <c r="I183" i="13" s="1"/>
  <c r="F184" i="13"/>
  <c r="H184" i="13" l="1"/>
  <c r="I184" i="13" s="1"/>
  <c r="F185" i="13"/>
  <c r="G185" i="13"/>
  <c r="G186" i="13" l="1"/>
  <c r="H185" i="13"/>
  <c r="I185" i="13" s="1"/>
  <c r="F186" i="13"/>
  <c r="F187" i="13" l="1"/>
  <c r="H186" i="13"/>
  <c r="I186" i="13" s="1"/>
  <c r="G187" i="13"/>
  <c r="G188" i="13" l="1"/>
  <c r="H187" i="13"/>
  <c r="I187" i="13" s="1"/>
  <c r="F188" i="13"/>
  <c r="G189" i="13" l="1"/>
  <c r="F189" i="13"/>
  <c r="H188" i="13"/>
  <c r="I188" i="13" s="1"/>
  <c r="H189" i="13" l="1"/>
  <c r="F190" i="13"/>
  <c r="I189" i="13"/>
  <c r="G190" i="13"/>
  <c r="G191" i="13" l="1"/>
  <c r="F191" i="13"/>
  <c r="H190" i="13"/>
  <c r="I190" i="13" s="1"/>
  <c r="F192" i="13" l="1"/>
  <c r="H191" i="13"/>
  <c r="I191" i="13" s="1"/>
  <c r="G192" i="13"/>
  <c r="G193" i="13" l="1"/>
  <c r="F193" i="13"/>
  <c r="H192" i="13"/>
  <c r="I192" i="13" s="1"/>
  <c r="G194" i="13" l="1"/>
  <c r="F194" i="13"/>
  <c r="H193" i="13"/>
  <c r="I193" i="13" s="1"/>
  <c r="F195" i="13" l="1"/>
  <c r="H194" i="13"/>
  <c r="I194" i="13" s="1"/>
  <c r="G195" i="13"/>
  <c r="G196" i="13" l="1"/>
  <c r="H195" i="13"/>
  <c r="I195" i="13" s="1"/>
  <c r="F196" i="13"/>
  <c r="F197" i="13" l="1"/>
  <c r="H196" i="13"/>
  <c r="I196" i="13" s="1"/>
  <c r="G197" i="13"/>
  <c r="G198" i="13" l="1"/>
  <c r="H197" i="13"/>
  <c r="I197" i="13" s="1"/>
  <c r="F198" i="13"/>
  <c r="F199" i="13" l="1"/>
  <c r="H198" i="13"/>
  <c r="I198" i="13" s="1"/>
  <c r="G199" i="13"/>
  <c r="G200" i="13" l="1"/>
  <c r="H199" i="13"/>
  <c r="I199" i="13" s="1"/>
  <c r="F200" i="13"/>
  <c r="H200" i="13" l="1"/>
  <c r="F201" i="13"/>
  <c r="I200" i="13"/>
  <c r="G201" i="13"/>
  <c r="G202" i="13" l="1"/>
  <c r="F202" i="13"/>
  <c r="H201" i="13"/>
  <c r="I201" i="13" s="1"/>
  <c r="G203" i="13" l="1"/>
  <c r="H202" i="13"/>
  <c r="I202" i="13" s="1"/>
  <c r="F203" i="13"/>
  <c r="F204" i="13" l="1"/>
  <c r="H203" i="13"/>
  <c r="I203" i="13" s="1"/>
  <c r="G204" i="13"/>
  <c r="G205" i="13" l="1"/>
  <c r="F205" i="13"/>
  <c r="H204" i="13"/>
  <c r="I204" i="13" s="1"/>
  <c r="F206" i="13" l="1"/>
  <c r="H205" i="13"/>
  <c r="I205" i="13" s="1"/>
  <c r="G206" i="13"/>
  <c r="G207" i="13" l="1"/>
  <c r="F207" i="13"/>
  <c r="H206" i="13"/>
  <c r="I206" i="13" s="1"/>
  <c r="F208" i="13" l="1"/>
  <c r="H207" i="13"/>
  <c r="I207" i="13" s="1"/>
  <c r="G208" i="13"/>
  <c r="G209" i="13" l="1"/>
  <c r="H208" i="13"/>
  <c r="I208" i="13" s="1"/>
  <c r="F209" i="13"/>
  <c r="F210" i="13" l="1"/>
  <c r="H209" i="13"/>
  <c r="I209" i="13" s="1"/>
  <c r="G210" i="13"/>
  <c r="G211" i="13" l="1"/>
  <c r="H210" i="13"/>
  <c r="I210" i="13" s="1"/>
  <c r="F211" i="13"/>
  <c r="F212" i="13" l="1"/>
  <c r="H211" i="13"/>
  <c r="I211" i="13" s="1"/>
  <c r="G212" i="13"/>
  <c r="G213" i="13" l="1"/>
  <c r="F213" i="13"/>
  <c r="H212" i="13"/>
  <c r="I212" i="13" s="1"/>
  <c r="F214" i="13" l="1"/>
  <c r="H213" i="13"/>
  <c r="I213" i="13"/>
  <c r="G214" i="13"/>
  <c r="G215" i="13" l="1"/>
  <c r="F215" i="13"/>
  <c r="H214" i="13"/>
  <c r="I214" i="13" s="1"/>
  <c r="F216" i="13" l="1"/>
  <c r="H215" i="13"/>
  <c r="I215" i="13" s="1"/>
  <c r="G216" i="13"/>
  <c r="G217" i="13" l="1"/>
  <c r="F217" i="13"/>
  <c r="H216" i="13"/>
  <c r="I216" i="13" s="1"/>
  <c r="H217" i="13" l="1"/>
  <c r="F218" i="13"/>
  <c r="I217" i="13"/>
  <c r="G218" i="13"/>
  <c r="G219" i="13" l="1"/>
  <c r="F219" i="13"/>
  <c r="H218" i="13"/>
  <c r="I218" i="13" s="1"/>
  <c r="F220" i="13" l="1"/>
  <c r="H219" i="13"/>
  <c r="I219" i="13" s="1"/>
  <c r="G220" i="13"/>
  <c r="G221" i="13" l="1"/>
  <c r="F221" i="13"/>
  <c r="H220" i="13"/>
  <c r="I220" i="13" s="1"/>
  <c r="F222" i="13" l="1"/>
  <c r="H221" i="13"/>
  <c r="I221" i="13" s="1"/>
  <c r="G222" i="13"/>
  <c r="G223" i="13" l="1"/>
  <c r="F223" i="13"/>
  <c r="H222" i="13"/>
  <c r="I222" i="13" s="1"/>
  <c r="G224" i="13" l="1"/>
  <c r="F224" i="13"/>
  <c r="H223" i="13"/>
  <c r="I223" i="13" s="1"/>
  <c r="F225" i="13" l="1"/>
  <c r="H224" i="13"/>
  <c r="I224" i="13" s="1"/>
  <c r="G225" i="13"/>
  <c r="G226" i="13" l="1"/>
  <c r="H225" i="13"/>
  <c r="I225" i="13" s="1"/>
  <c r="F226" i="13"/>
  <c r="F227" i="13" l="1"/>
  <c r="H226" i="13"/>
  <c r="I226" i="13" s="1"/>
  <c r="G227" i="13"/>
  <c r="G228" i="13" l="1"/>
  <c r="F228" i="13"/>
  <c r="H227" i="13"/>
  <c r="I227" i="13" s="1"/>
  <c r="F229" i="13" l="1"/>
  <c r="H228" i="13"/>
  <c r="I228" i="13" s="1"/>
  <c r="G229" i="13"/>
  <c r="G230" i="13" l="1"/>
  <c r="F230" i="13"/>
  <c r="H229" i="13"/>
  <c r="I229" i="13" s="1"/>
  <c r="F231" i="13" l="1"/>
  <c r="H230" i="13"/>
  <c r="G231" i="13"/>
  <c r="I230" i="13"/>
  <c r="G232" i="13" l="1"/>
  <c r="F232" i="13"/>
  <c r="H231" i="13"/>
  <c r="I231" i="13" s="1"/>
  <c r="G233" i="13" l="1"/>
  <c r="F233" i="13"/>
  <c r="H232" i="13"/>
  <c r="I232" i="13" s="1"/>
  <c r="F234" i="13" l="1"/>
  <c r="H233" i="13"/>
  <c r="I233" i="13" s="1"/>
  <c r="G234" i="13"/>
  <c r="G235" i="13" l="1"/>
  <c r="F235" i="13"/>
  <c r="H234" i="13"/>
  <c r="I234" i="13" s="1"/>
  <c r="G236" i="13" l="1"/>
  <c r="F236" i="13"/>
  <c r="H235" i="13"/>
  <c r="I235" i="13" s="1"/>
  <c r="F237" i="13" l="1"/>
  <c r="H236" i="13"/>
  <c r="I236" i="13" s="1"/>
  <c r="G237" i="13"/>
  <c r="G238" i="13" l="1"/>
  <c r="H237" i="13"/>
  <c r="I237" i="13" s="1"/>
  <c r="F238" i="13"/>
  <c r="G239" i="13" l="1"/>
  <c r="F239" i="13"/>
  <c r="H238" i="13"/>
  <c r="I238" i="13" s="1"/>
  <c r="F240" i="13" l="1"/>
  <c r="H239" i="13"/>
  <c r="G240" i="13"/>
  <c r="I239" i="13"/>
  <c r="G241" i="13" l="1"/>
  <c r="F241" i="13"/>
  <c r="H240" i="13"/>
  <c r="I240" i="13" s="1"/>
  <c r="G242" i="13" l="1"/>
  <c r="F242" i="13"/>
  <c r="H241" i="13"/>
  <c r="I241" i="13" s="1"/>
  <c r="F243" i="13" l="1"/>
  <c r="H242" i="13"/>
  <c r="I242" i="13" s="1"/>
  <c r="G243" i="13"/>
  <c r="G244" i="13" l="1"/>
  <c r="F244" i="13"/>
  <c r="H243" i="13"/>
  <c r="I243" i="13" s="1"/>
  <c r="F245" i="13" l="1"/>
  <c r="H244" i="13"/>
  <c r="I244" i="13" s="1"/>
  <c r="G245" i="13"/>
  <c r="G246" i="13" l="1"/>
  <c r="F246" i="13"/>
  <c r="H245" i="13"/>
  <c r="I245" i="13" s="1"/>
  <c r="H246" i="13" l="1"/>
  <c r="F247" i="13"/>
  <c r="G247" i="13"/>
  <c r="I246" i="13"/>
  <c r="G248" i="13" l="1"/>
  <c r="F248" i="13"/>
  <c r="H247" i="13"/>
  <c r="I247" i="13" s="1"/>
  <c r="F249" i="13" l="1"/>
  <c r="H248" i="13"/>
  <c r="I248" i="13"/>
  <c r="G249" i="13"/>
  <c r="G250" i="13" l="1"/>
  <c r="H249" i="13"/>
  <c r="I249" i="13" s="1"/>
  <c r="F250" i="13"/>
  <c r="F251" i="13" l="1"/>
  <c r="H250" i="13"/>
  <c r="I250" i="13"/>
  <c r="G251" i="13"/>
  <c r="G252" i="13" l="1"/>
  <c r="F252" i="13"/>
  <c r="H251" i="13"/>
  <c r="I251" i="13" s="1"/>
  <c r="H252" i="13" l="1"/>
  <c r="F253" i="13"/>
  <c r="G253" i="13"/>
  <c r="I252" i="13"/>
  <c r="G254" i="13" l="1"/>
  <c r="F254" i="13"/>
  <c r="H253" i="13"/>
  <c r="I253" i="13" s="1"/>
  <c r="F255" i="13" l="1"/>
  <c r="H254" i="13"/>
  <c r="G255" i="13"/>
  <c r="I254" i="13"/>
  <c r="G256" i="13" l="1"/>
  <c r="H255" i="13"/>
  <c r="I255" i="13" s="1"/>
  <c r="F256" i="13"/>
  <c r="F257" i="13" l="1"/>
  <c r="H256" i="13"/>
  <c r="I256" i="13" s="1"/>
  <c r="G257" i="13"/>
  <c r="G258" i="13" l="1"/>
  <c r="F258" i="13"/>
  <c r="H257" i="13"/>
  <c r="I257" i="13" s="1"/>
  <c r="H258" i="13" l="1"/>
  <c r="I258" i="13" s="1"/>
  <c r="F259" i="13"/>
  <c r="G259" i="13"/>
  <c r="G260" i="13" l="1"/>
  <c r="F260" i="13"/>
  <c r="H259" i="13"/>
  <c r="I259" i="13" s="1"/>
  <c r="F261" i="13" l="1"/>
  <c r="H260" i="13"/>
  <c r="G261" i="13"/>
  <c r="I260" i="13"/>
  <c r="G262" i="13" l="1"/>
  <c r="H261" i="13"/>
  <c r="I261" i="13" s="1"/>
  <c r="F262" i="13"/>
  <c r="F263" i="13" l="1"/>
  <c r="H262" i="13"/>
  <c r="I262" i="13"/>
  <c r="G263" i="13"/>
  <c r="G264" i="13" l="1"/>
  <c r="F264" i="13"/>
  <c r="H263" i="13"/>
  <c r="I263" i="13" s="1"/>
  <c r="H264" i="13" l="1"/>
  <c r="I264" i="13" s="1"/>
  <c r="F265" i="13"/>
  <c r="G265" i="13"/>
  <c r="G266" i="13" l="1"/>
  <c r="F266" i="13"/>
  <c r="H265" i="13"/>
  <c r="I265" i="13" s="1"/>
  <c r="G267" i="13" l="1"/>
  <c r="F267" i="13"/>
  <c r="H266" i="13"/>
  <c r="I266" i="13" s="1"/>
  <c r="H267" i="13" l="1"/>
  <c r="I267" i="13" s="1"/>
  <c r="F268" i="13"/>
  <c r="G268" i="13"/>
  <c r="G269" i="13" l="1"/>
  <c r="F269" i="13"/>
  <c r="H268" i="13"/>
  <c r="I268" i="13" s="1"/>
  <c r="F270" i="13" l="1"/>
  <c r="H269" i="13"/>
  <c r="I269" i="13"/>
  <c r="G270" i="13"/>
  <c r="H270" i="13" l="1"/>
  <c r="I270" i="13" s="1"/>
  <c r="F271" i="13"/>
  <c r="G271" i="13"/>
  <c r="G272" i="13" l="1"/>
  <c r="F272" i="13"/>
  <c r="H271" i="13"/>
  <c r="I271" i="13" s="1"/>
  <c r="G273" i="13" l="1"/>
  <c r="F273" i="13"/>
  <c r="H272" i="13"/>
  <c r="I272" i="13" s="1"/>
  <c r="H273" i="13" l="1"/>
  <c r="F274" i="13"/>
  <c r="G274" i="13"/>
  <c r="I273" i="13"/>
  <c r="G275" i="13" l="1"/>
  <c r="F275" i="13"/>
  <c r="H274" i="13"/>
  <c r="I274" i="13" s="1"/>
  <c r="F276" i="13" l="1"/>
  <c r="H275" i="13"/>
  <c r="I275" i="13" s="1"/>
  <c r="G276" i="13"/>
  <c r="G277" i="13" l="1"/>
  <c r="H276" i="13"/>
  <c r="I276" i="13" s="1"/>
  <c r="F277" i="13"/>
  <c r="F278" i="13" l="1"/>
  <c r="H277" i="13"/>
  <c r="I277" i="13" s="1"/>
  <c r="G278" i="13"/>
  <c r="G279" i="13" l="1"/>
  <c r="F279" i="13"/>
  <c r="H278" i="13"/>
  <c r="I278" i="13" s="1"/>
  <c r="H279" i="13" l="1"/>
  <c r="F280" i="13"/>
  <c r="G280" i="13"/>
  <c r="I279" i="13"/>
  <c r="G281" i="13" l="1"/>
  <c r="F281" i="13"/>
  <c r="H280" i="13"/>
  <c r="I280" i="13" s="1"/>
  <c r="F282" i="13" l="1"/>
  <c r="H281" i="13"/>
  <c r="I281" i="13"/>
  <c r="G282" i="13"/>
  <c r="G283" i="13" l="1"/>
  <c r="H282" i="13"/>
  <c r="I282" i="13" s="1"/>
  <c r="F283" i="13"/>
  <c r="F284" i="13" l="1"/>
  <c r="H283" i="13"/>
  <c r="I283" i="13" s="1"/>
  <c r="G284" i="13"/>
  <c r="G285" i="13" l="1"/>
  <c r="F285" i="13"/>
  <c r="H284" i="13"/>
  <c r="I284" i="13" s="1"/>
  <c r="H285" i="13" l="1"/>
  <c r="F286" i="13"/>
  <c r="G286" i="13"/>
  <c r="I285" i="13"/>
  <c r="G287" i="13" l="1"/>
  <c r="F287" i="13"/>
  <c r="H286" i="13"/>
  <c r="I286" i="13" s="1"/>
  <c r="F288" i="13" l="1"/>
  <c r="H287" i="13"/>
  <c r="I287" i="13" s="1"/>
  <c r="G288" i="13"/>
  <c r="G289" i="13" l="1"/>
  <c r="H288" i="13"/>
  <c r="I288" i="13" s="1"/>
  <c r="F289" i="13"/>
  <c r="F290" i="13" l="1"/>
  <c r="H289" i="13"/>
  <c r="I289" i="13" s="1"/>
  <c r="G290" i="13"/>
  <c r="G291" i="13" l="1"/>
  <c r="F291" i="13"/>
  <c r="H290" i="13"/>
  <c r="I290" i="13" s="1"/>
  <c r="H291" i="13" l="1"/>
  <c r="F292" i="13"/>
  <c r="G292" i="13"/>
  <c r="I291" i="13"/>
  <c r="G293" i="13" l="1"/>
  <c r="F293" i="13"/>
  <c r="H292" i="13"/>
  <c r="I292" i="13" s="1"/>
  <c r="F294" i="13" l="1"/>
  <c r="H293" i="13"/>
  <c r="I293" i="13" s="1"/>
  <c r="G294" i="13"/>
  <c r="G295" i="13" l="1"/>
  <c r="H294" i="13"/>
  <c r="I294" i="13" s="1"/>
  <c r="F295" i="13"/>
  <c r="F296" i="13" l="1"/>
  <c r="H295" i="13"/>
  <c r="I295" i="13" s="1"/>
  <c r="G296" i="13"/>
  <c r="G297" i="13" l="1"/>
  <c r="F297" i="13"/>
  <c r="H296" i="13"/>
  <c r="I296" i="13" s="1"/>
  <c r="G298" i="13" l="1"/>
  <c r="H297" i="13"/>
  <c r="I297" i="13" s="1"/>
  <c r="F298" i="13"/>
  <c r="F299" i="13" l="1"/>
  <c r="H298" i="13"/>
  <c r="I298" i="13" s="1"/>
  <c r="G299" i="13"/>
  <c r="G300" i="13" l="1"/>
  <c r="F300" i="13"/>
  <c r="H299" i="13"/>
  <c r="I299" i="13" s="1"/>
  <c r="H300" i="13" l="1"/>
  <c r="F301" i="13"/>
  <c r="G301" i="13"/>
  <c r="I300" i="13"/>
  <c r="G302" i="13" l="1"/>
  <c r="F302" i="13"/>
  <c r="H301" i="13"/>
  <c r="I301" i="13" s="1"/>
  <c r="F303" i="13" l="1"/>
  <c r="H302" i="13"/>
  <c r="I302" i="13" s="1"/>
  <c r="G303" i="13"/>
  <c r="G304" i="13" l="1"/>
  <c r="H303" i="13"/>
  <c r="I303" i="13" s="1"/>
  <c r="F304" i="13"/>
  <c r="F305" i="13" l="1"/>
  <c r="H304" i="13"/>
  <c r="I304" i="13" s="1"/>
  <c r="G305" i="13"/>
  <c r="G306" i="13" l="1"/>
  <c r="F306" i="13"/>
  <c r="H305" i="13"/>
  <c r="I305" i="13" s="1"/>
  <c r="H306" i="13" l="1"/>
  <c r="F307" i="13"/>
  <c r="G307" i="13"/>
  <c r="I306" i="13"/>
  <c r="G308" i="13" l="1"/>
  <c r="F308" i="13"/>
  <c r="H307" i="13"/>
  <c r="I307" i="13" s="1"/>
  <c r="F309" i="13" l="1"/>
  <c r="H308" i="13"/>
  <c r="I308" i="13"/>
  <c r="G309" i="13"/>
  <c r="G310" i="13" l="1"/>
  <c r="H309" i="13"/>
  <c r="I309" i="13" s="1"/>
  <c r="F310" i="13"/>
  <c r="F311" i="13" l="1"/>
  <c r="H310" i="13"/>
  <c r="I310" i="13" s="1"/>
  <c r="G311" i="13"/>
  <c r="G312" i="13" l="1"/>
  <c r="F312" i="13"/>
  <c r="H311" i="13"/>
  <c r="I311" i="13" s="1"/>
  <c r="F313" i="13" l="1"/>
  <c r="H312" i="13"/>
  <c r="G313" i="13"/>
  <c r="I312" i="13"/>
  <c r="G314" i="13" l="1"/>
  <c r="F314" i="13"/>
  <c r="H313" i="13"/>
  <c r="I313" i="13" s="1"/>
  <c r="F315" i="13" l="1"/>
  <c r="H314" i="13"/>
  <c r="I314" i="13"/>
  <c r="G315" i="13"/>
  <c r="G316" i="13" l="1"/>
  <c r="F316" i="13"/>
  <c r="H315" i="13"/>
  <c r="I315" i="13" s="1"/>
  <c r="F317" i="13" l="1"/>
  <c r="H316" i="13"/>
  <c r="I316" i="13"/>
  <c r="G317" i="13"/>
  <c r="G318" i="13" l="1"/>
  <c r="F318" i="13"/>
  <c r="H317" i="13"/>
  <c r="I317" i="13" s="1"/>
  <c r="F319" i="13" l="1"/>
  <c r="H318" i="13"/>
  <c r="G319" i="13"/>
  <c r="I318" i="13"/>
  <c r="G320" i="13" l="1"/>
  <c r="F320" i="13"/>
  <c r="H319" i="13"/>
  <c r="I319" i="13" s="1"/>
  <c r="F321" i="13" l="1"/>
  <c r="H320" i="13"/>
  <c r="I320" i="13" s="1"/>
  <c r="G321" i="13"/>
  <c r="G322" i="13" l="1"/>
  <c r="F322" i="13"/>
  <c r="H321" i="13"/>
  <c r="I321" i="13" s="1"/>
  <c r="F323" i="13" l="1"/>
  <c r="H322" i="13"/>
  <c r="I322" i="13"/>
  <c r="G323" i="13"/>
  <c r="G324" i="13" l="1"/>
  <c r="F324" i="13"/>
  <c r="H323" i="13"/>
  <c r="I323" i="13" s="1"/>
  <c r="F325" i="13" l="1"/>
  <c r="H324" i="13"/>
  <c r="I324" i="13" s="1"/>
  <c r="G325" i="13"/>
  <c r="G326" i="13" l="1"/>
  <c r="F326" i="13"/>
  <c r="H325" i="13"/>
  <c r="I325" i="13" s="1"/>
  <c r="F327" i="13" l="1"/>
  <c r="H326" i="13"/>
  <c r="I326" i="13" s="1"/>
  <c r="G327" i="13"/>
  <c r="G328" i="13" l="1"/>
  <c r="F328" i="13"/>
  <c r="H327" i="13"/>
  <c r="I327" i="13" s="1"/>
  <c r="F329" i="13" l="1"/>
  <c r="H328" i="13"/>
  <c r="I328" i="13" s="1"/>
  <c r="G329" i="13"/>
  <c r="G330" i="13" l="1"/>
  <c r="F330" i="13"/>
  <c r="H329" i="13"/>
  <c r="I329" i="13" s="1"/>
  <c r="F331" i="13" l="1"/>
  <c r="H330" i="13"/>
  <c r="G331" i="13"/>
  <c r="I330" i="13"/>
  <c r="G332" i="13" l="1"/>
  <c r="F332" i="13"/>
  <c r="H331" i="13"/>
  <c r="I331" i="13" s="1"/>
  <c r="F333" i="13" l="1"/>
  <c r="H332" i="13"/>
  <c r="I332" i="13"/>
  <c r="G333" i="13"/>
  <c r="G334" i="13" l="1"/>
  <c r="F334" i="13"/>
  <c r="H333" i="13"/>
  <c r="I333" i="13" s="1"/>
  <c r="F335" i="13" l="1"/>
  <c r="H334" i="13"/>
  <c r="I334" i="13"/>
  <c r="G335" i="13"/>
  <c r="G336" i="13" l="1"/>
  <c r="F336" i="13"/>
  <c r="H335" i="13"/>
  <c r="I335" i="13" s="1"/>
  <c r="F337" i="13" l="1"/>
  <c r="H336" i="13"/>
  <c r="I336" i="13" s="1"/>
  <c r="G337" i="13"/>
  <c r="G338" i="13" l="1"/>
  <c r="F338" i="13"/>
  <c r="H337" i="13"/>
  <c r="I337" i="13" s="1"/>
  <c r="F339" i="13" l="1"/>
  <c r="H338" i="13"/>
  <c r="I338" i="13" s="1"/>
  <c r="G339" i="13"/>
  <c r="G340" i="13" l="1"/>
  <c r="F340" i="13"/>
  <c r="H339" i="13"/>
  <c r="I339" i="13" s="1"/>
  <c r="F341" i="13" l="1"/>
  <c r="H340" i="13"/>
  <c r="I340" i="13" s="1"/>
  <c r="G341" i="13"/>
  <c r="G342" i="13" l="1"/>
  <c r="F342" i="13"/>
  <c r="H341" i="13"/>
  <c r="I341" i="13" s="1"/>
  <c r="F343" i="13" l="1"/>
  <c r="H342" i="13"/>
  <c r="I342" i="13" s="1"/>
  <c r="G343" i="13"/>
  <c r="G344" i="13" l="1"/>
  <c r="F344" i="13"/>
  <c r="H343" i="13"/>
  <c r="I343" i="13" s="1"/>
  <c r="F345" i="13" l="1"/>
  <c r="H344" i="13"/>
  <c r="I344" i="13"/>
  <c r="G345" i="13"/>
  <c r="G346" i="13" l="1"/>
  <c r="F346" i="13"/>
  <c r="H345" i="13"/>
  <c r="I345" i="13" s="1"/>
  <c r="F347" i="13" l="1"/>
  <c r="H346" i="13"/>
  <c r="I346" i="13"/>
  <c r="G347" i="13"/>
  <c r="G348" i="13" l="1"/>
  <c r="F348" i="13"/>
  <c r="H347" i="13"/>
  <c r="I347" i="13" s="1"/>
  <c r="F349" i="13" l="1"/>
  <c r="H348" i="13"/>
  <c r="G349" i="13"/>
  <c r="I348" i="13"/>
  <c r="G350" i="13" l="1"/>
  <c r="F350" i="13"/>
  <c r="H349" i="13"/>
  <c r="I349" i="13" s="1"/>
  <c r="F351" i="13" l="1"/>
  <c r="H350" i="13"/>
  <c r="I350" i="13"/>
  <c r="G351" i="13"/>
  <c r="G352" i="13" l="1"/>
  <c r="F352" i="13"/>
  <c r="H351" i="13"/>
  <c r="I351" i="13" s="1"/>
  <c r="F353" i="13" l="1"/>
  <c r="H352" i="13"/>
  <c r="I352" i="13" s="1"/>
  <c r="G353" i="13"/>
  <c r="G354" i="13" l="1"/>
  <c r="F354" i="13"/>
  <c r="H353" i="13"/>
  <c r="I353" i="13" s="1"/>
  <c r="F355" i="13" l="1"/>
  <c r="H354" i="13"/>
  <c r="G355" i="13"/>
  <c r="I354" i="13"/>
  <c r="G356" i="13" l="1"/>
  <c r="F356" i="13"/>
  <c r="H355" i="13"/>
  <c r="I355" i="13" s="1"/>
  <c r="F357" i="13" l="1"/>
  <c r="H356" i="13"/>
  <c r="I356" i="13"/>
  <c r="G357" i="13"/>
  <c r="G358" i="13" l="1"/>
  <c r="F358" i="13"/>
  <c r="H357" i="13"/>
  <c r="I357" i="13" s="1"/>
  <c r="F359" i="13" l="1"/>
  <c r="H358" i="13"/>
  <c r="I358" i="13"/>
  <c r="G359" i="13"/>
  <c r="G360" i="13" l="1"/>
  <c r="F360" i="13"/>
  <c r="H359" i="13"/>
  <c r="I359" i="13" s="1"/>
  <c r="F361" i="13" l="1"/>
  <c r="H360" i="13"/>
  <c r="G361" i="13"/>
  <c r="I360" i="13"/>
  <c r="G362" i="13" l="1"/>
  <c r="F362" i="13"/>
  <c r="H362" i="13" s="1"/>
  <c r="H1" i="13" s="1"/>
  <c r="B10" i="13" s="1"/>
  <c r="H361" i="13"/>
  <c r="I361" i="13" s="1"/>
  <c r="I362" i="13" l="1"/>
  <c r="I1" i="13" s="1"/>
  <c r="B12" i="13" s="1"/>
  <c r="G1" i="13"/>
  <c r="B11" i="13" l="1"/>
  <c r="B13" i="13"/>
  <c r="B16" i="13" s="1"/>
  <c r="AO15" i="11" l="1"/>
  <c r="AP15" i="11"/>
  <c r="AN15" i="11"/>
  <c r="V15" i="11"/>
  <c r="U15" i="11"/>
  <c r="AM15" i="11"/>
  <c r="AL15" i="11"/>
  <c r="AK15" i="11"/>
  <c r="AJ15" i="11"/>
  <c r="AI15" i="11"/>
  <c r="AH15" i="11"/>
  <c r="AG15" i="11"/>
  <c r="A10" i="4" l="1"/>
  <c r="A10" i="2"/>
  <c r="A2" i="1"/>
  <c r="H307" i="4"/>
  <c r="I307" i="4" s="1"/>
  <c r="H308" i="4"/>
  <c r="I308" i="4" s="1"/>
  <c r="H310" i="4"/>
  <c r="I310" i="4" s="1"/>
  <c r="H311" i="4"/>
  <c r="I311" i="4" s="1"/>
  <c r="H312" i="4"/>
  <c r="I312" i="4" s="1"/>
  <c r="H313" i="4"/>
  <c r="I313" i="4" s="1"/>
  <c r="H314" i="4"/>
  <c r="I314" i="4" s="1"/>
  <c r="I318" i="2"/>
  <c r="H318" i="2"/>
  <c r="G318" i="2"/>
  <c r="K309" i="2"/>
  <c r="J309" i="2"/>
  <c r="K297" i="2"/>
  <c r="J297" i="2"/>
  <c r="K285" i="2"/>
  <c r="J285" i="2"/>
  <c r="K273" i="2"/>
  <c r="J273" i="2"/>
  <c r="K261" i="2"/>
  <c r="J261" i="2"/>
  <c r="K249" i="2"/>
  <c r="J249" i="2"/>
  <c r="K237" i="2"/>
  <c r="J237" i="2"/>
  <c r="K225" i="2"/>
  <c r="J225" i="2"/>
  <c r="K213" i="2"/>
  <c r="J213" i="2"/>
  <c r="K201" i="2"/>
  <c r="J201" i="2"/>
  <c r="K189" i="2"/>
  <c r="J189" i="2"/>
  <c r="K177" i="2"/>
  <c r="J177" i="2"/>
  <c r="K165" i="2"/>
  <c r="J165" i="2"/>
  <c r="K153" i="2"/>
  <c r="J153" i="2"/>
  <c r="K141" i="2"/>
  <c r="J141" i="2"/>
  <c r="K129" i="2"/>
  <c r="J129" i="2"/>
  <c r="K117" i="2"/>
  <c r="J117" i="2"/>
  <c r="K105" i="2"/>
  <c r="J105" i="2"/>
  <c r="K93" i="2"/>
  <c r="J93" i="2"/>
  <c r="K81" i="2"/>
  <c r="J81" i="2"/>
  <c r="K69" i="2"/>
  <c r="J69" i="2"/>
  <c r="K57" i="2"/>
  <c r="J57" i="2"/>
  <c r="K45" i="2"/>
  <c r="J45" i="2"/>
  <c r="K33" i="2"/>
  <c r="J33" i="2"/>
  <c r="K21" i="2"/>
  <c r="J21" i="2"/>
  <c r="K11" i="2"/>
  <c r="J11" i="2"/>
  <c r="P310" i="4"/>
  <c r="Q310" i="4" s="1"/>
  <c r="N310" i="4"/>
  <c r="O310" i="4" s="1"/>
  <c r="P297" i="4"/>
  <c r="Q297" i="4" s="1"/>
  <c r="N297" i="4"/>
  <c r="O297" i="4" s="1"/>
  <c r="P285" i="4"/>
  <c r="Q285" i="4" s="1"/>
  <c r="N285" i="4"/>
  <c r="O285" i="4" s="1"/>
  <c r="P273" i="4"/>
  <c r="Q273" i="4" s="1"/>
  <c r="N273" i="4"/>
  <c r="O273" i="4" s="1"/>
  <c r="P261" i="4"/>
  <c r="Q261" i="4" s="1"/>
  <c r="N261" i="4"/>
  <c r="O261" i="4" s="1"/>
  <c r="P249" i="4"/>
  <c r="Q249" i="4" s="1"/>
  <c r="N249" i="4"/>
  <c r="O249" i="4" s="1"/>
  <c r="P237" i="4"/>
  <c r="Q237" i="4" s="1"/>
  <c r="N237" i="4"/>
  <c r="O237" i="4" s="1"/>
  <c r="P225" i="4"/>
  <c r="Q225" i="4" s="1"/>
  <c r="N225" i="4"/>
  <c r="O225" i="4" s="1"/>
  <c r="P213" i="4"/>
  <c r="Q213" i="4" s="1"/>
  <c r="N213" i="4"/>
  <c r="O213" i="4" s="1"/>
  <c r="P201" i="4"/>
  <c r="Q201" i="4" s="1"/>
  <c r="N201" i="4"/>
  <c r="O201" i="4" s="1"/>
  <c r="P189" i="4"/>
  <c r="Q189" i="4" s="1"/>
  <c r="N189" i="4"/>
  <c r="O189" i="4" s="1"/>
  <c r="P177" i="4"/>
  <c r="Q177" i="4" s="1"/>
  <c r="N177" i="4"/>
  <c r="O177" i="4" s="1"/>
  <c r="P165" i="4"/>
  <c r="Q165" i="4" s="1"/>
  <c r="N165" i="4"/>
  <c r="O165" i="4" s="1"/>
  <c r="P153" i="4"/>
  <c r="Q153" i="4" s="1"/>
  <c r="N153" i="4"/>
  <c r="O153" i="4" s="1"/>
  <c r="P141" i="4"/>
  <c r="Q141" i="4" s="1"/>
  <c r="N141" i="4"/>
  <c r="O141" i="4" s="1"/>
  <c r="P129" i="4"/>
  <c r="Q129" i="4" s="1"/>
  <c r="N129" i="4"/>
  <c r="O129" i="4" s="1"/>
  <c r="P117" i="4"/>
  <c r="Q117" i="4" s="1"/>
  <c r="N117" i="4"/>
  <c r="O117" i="4" s="1"/>
  <c r="P105" i="4"/>
  <c r="Q105" i="4" s="1"/>
  <c r="N105" i="4"/>
  <c r="O105" i="4" s="1"/>
  <c r="P93" i="4"/>
  <c r="Q93" i="4" s="1"/>
  <c r="N93" i="4"/>
  <c r="O93" i="4" s="1"/>
  <c r="P81" i="4"/>
  <c r="Q81" i="4" s="1"/>
  <c r="N81" i="4"/>
  <c r="O81" i="4" s="1"/>
  <c r="P69" i="4"/>
  <c r="Q69" i="4" s="1"/>
  <c r="N69" i="4"/>
  <c r="O69" i="4" s="1"/>
  <c r="P57" i="4"/>
  <c r="Q57" i="4" s="1"/>
  <c r="N57" i="4"/>
  <c r="O57" i="4" s="1"/>
  <c r="P45" i="4"/>
  <c r="Q45" i="4" s="1"/>
  <c r="N45" i="4"/>
  <c r="O45" i="4" s="1"/>
  <c r="P33" i="4"/>
  <c r="Q33" i="4" s="1"/>
  <c r="N33" i="4"/>
  <c r="O33" i="4" s="1"/>
  <c r="P21" i="4"/>
  <c r="Q21" i="4" s="1"/>
  <c r="N21" i="4"/>
  <c r="O21" i="4" s="1"/>
  <c r="P11" i="4"/>
  <c r="Q11" i="4" s="1"/>
  <c r="N11" i="4"/>
  <c r="O11" i="4" s="1"/>
  <c r="I20" i="2"/>
  <c r="H20" i="2"/>
  <c r="G20" i="2"/>
  <c r="I19" i="2"/>
  <c r="H19" i="2"/>
  <c r="G19" i="2"/>
  <c r="I18" i="2"/>
  <c r="H18" i="2"/>
  <c r="G18" i="2"/>
  <c r="I17" i="2"/>
  <c r="H17" i="2"/>
  <c r="G17" i="2"/>
  <c r="I16" i="2"/>
  <c r="H16" i="2"/>
  <c r="G16" i="2"/>
  <c r="I15" i="2"/>
  <c r="H15" i="2"/>
  <c r="G15" i="2"/>
  <c r="I14" i="2"/>
  <c r="H14" i="2"/>
  <c r="G14" i="2"/>
  <c r="I13" i="2"/>
  <c r="H13" i="2"/>
  <c r="G13" i="2"/>
  <c r="I12" i="2"/>
  <c r="H12" i="2"/>
  <c r="G12" i="2"/>
  <c r="L314" i="4"/>
  <c r="M314" i="4" s="1"/>
  <c r="J314" i="4"/>
  <c r="K314" i="4" s="1"/>
  <c r="L313" i="4"/>
  <c r="M313" i="4" s="1"/>
  <c r="J313" i="4"/>
  <c r="K313" i="4" s="1"/>
  <c r="L312" i="4"/>
  <c r="M312" i="4" s="1"/>
  <c r="J312" i="4"/>
  <c r="K312" i="4" s="1"/>
  <c r="L311" i="4"/>
  <c r="M311" i="4" s="1"/>
  <c r="J311" i="4"/>
  <c r="K311" i="4" s="1"/>
  <c r="L310" i="4"/>
  <c r="M310" i="4" s="1"/>
  <c r="J310" i="4"/>
  <c r="K310" i="4" s="1"/>
  <c r="L308" i="4"/>
  <c r="M308" i="4" s="1"/>
  <c r="J308" i="4"/>
  <c r="K308" i="4" s="1"/>
  <c r="L307" i="4"/>
  <c r="M307" i="4" s="1"/>
  <c r="J307" i="4"/>
  <c r="K307" i="4" s="1"/>
  <c r="L16" i="4"/>
  <c r="M16" i="4" s="1"/>
  <c r="J16" i="4"/>
  <c r="K16" i="4" s="1"/>
  <c r="H16" i="4"/>
  <c r="I16" i="4" s="1"/>
  <c r="L15" i="4"/>
  <c r="M15" i="4" s="1"/>
  <c r="J15" i="4"/>
  <c r="K15" i="4" s="1"/>
  <c r="H15" i="4"/>
  <c r="I15" i="4" s="1"/>
  <c r="L14" i="4"/>
  <c r="M14" i="4" s="1"/>
  <c r="J14" i="4"/>
  <c r="K14" i="4" s="1"/>
  <c r="H14" i="4"/>
  <c r="I14" i="4" s="1"/>
  <c r="C9" i="7" l="1"/>
  <c r="C26" i="8"/>
  <c r="K311" i="1"/>
  <c r="K310" i="1"/>
  <c r="K309" i="1"/>
  <c r="K308" i="1"/>
  <c r="K307" i="1"/>
  <c r="K306" i="1"/>
  <c r="K305" i="1"/>
  <c r="K304" i="1"/>
  <c r="K303" i="1"/>
  <c r="K302" i="1"/>
  <c r="K301" i="1"/>
  <c r="K300" i="1"/>
  <c r="K299" i="1"/>
  <c r="K298" i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K261" i="1"/>
  <c r="K260" i="1"/>
  <c r="K259" i="1"/>
  <c r="K258" i="1"/>
  <c r="K257" i="1"/>
  <c r="K256" i="1"/>
  <c r="K255" i="1"/>
  <c r="K254" i="1"/>
  <c r="K253" i="1"/>
  <c r="K252" i="1"/>
  <c r="K251" i="1"/>
  <c r="K250" i="1"/>
  <c r="K249" i="1"/>
  <c r="K248" i="1"/>
  <c r="K247" i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K210" i="1"/>
  <c r="K209" i="1"/>
  <c r="K208" i="1"/>
  <c r="K207" i="1"/>
  <c r="K206" i="1"/>
  <c r="K205" i="1"/>
  <c r="K204" i="1"/>
  <c r="K203" i="1"/>
  <c r="K202" i="1"/>
  <c r="K201" i="1"/>
  <c r="K200" i="1"/>
  <c r="K199" i="1"/>
  <c r="K198" i="1"/>
  <c r="K197" i="1"/>
  <c r="K196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K152" i="1"/>
  <c r="K151" i="1"/>
  <c r="K150" i="1"/>
  <c r="K149" i="1"/>
  <c r="K148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C8" i="7"/>
  <c r="C10" i="7" s="1"/>
  <c r="C23" i="7" s="1"/>
  <c r="H321" i="4"/>
  <c r="I321" i="4" s="1"/>
  <c r="J321" i="4"/>
  <c r="K321" i="4" s="1"/>
  <c r="L321" i="4"/>
  <c r="M321" i="4" s="1"/>
  <c r="C9" i="8"/>
  <c r="C10" i="8" s="1"/>
  <c r="F29" i="8" l="1"/>
  <c r="F17" i="8"/>
  <c r="F28" i="8"/>
  <c r="F16" i="8"/>
  <c r="F4" i="8"/>
  <c r="F26" i="8"/>
  <c r="F27" i="8"/>
  <c r="F15" i="8"/>
  <c r="F25" i="8"/>
  <c r="F13" i="8"/>
  <c r="F11" i="8"/>
  <c r="F7" i="8"/>
  <c r="F24" i="8"/>
  <c r="F12" i="8"/>
  <c r="F8" i="8"/>
  <c r="F23" i="8"/>
  <c r="F5" i="8"/>
  <c r="F22" i="8"/>
  <c r="F10" i="8"/>
  <c r="F14" i="8"/>
  <c r="F21" i="8"/>
  <c r="F9" i="8"/>
  <c r="F20" i="8"/>
  <c r="F19" i="8"/>
  <c r="F18" i="8"/>
  <c r="F6" i="8"/>
  <c r="K312" i="1"/>
  <c r="F5" i="7"/>
  <c r="I4" i="8" l="1"/>
  <c r="J4" i="8" s="1"/>
  <c r="I5" i="8" s="1"/>
  <c r="J5" i="8" s="1"/>
  <c r="C31" i="8"/>
  <c r="C25" i="7"/>
  <c r="J3" i="7" s="1"/>
  <c r="C26" i="7"/>
  <c r="C27" i="7" s="1"/>
  <c r="I5" i="7"/>
  <c r="I320" i="2"/>
  <c r="H320" i="2"/>
  <c r="G320" i="2"/>
  <c r="I319" i="2"/>
  <c r="H319" i="2"/>
  <c r="G319" i="2"/>
  <c r="I317" i="2"/>
  <c r="H317" i="2"/>
  <c r="G317" i="2"/>
  <c r="I316" i="2"/>
  <c r="H316" i="2"/>
  <c r="G316" i="2"/>
  <c r="I315" i="2"/>
  <c r="H315" i="2"/>
  <c r="G315" i="2"/>
  <c r="I314" i="2"/>
  <c r="H314" i="2"/>
  <c r="G314" i="2"/>
  <c r="I313" i="2"/>
  <c r="H313" i="2"/>
  <c r="G313" i="2"/>
  <c r="I312" i="2"/>
  <c r="H312" i="2"/>
  <c r="G312" i="2"/>
  <c r="I311" i="2"/>
  <c r="H311" i="2"/>
  <c r="G311" i="2"/>
  <c r="I310" i="2"/>
  <c r="H310" i="2"/>
  <c r="G310" i="2"/>
  <c r="I309" i="2"/>
  <c r="H309" i="2"/>
  <c r="G309" i="2"/>
  <c r="I308" i="2"/>
  <c r="H308" i="2"/>
  <c r="G308" i="2"/>
  <c r="I307" i="2"/>
  <c r="H307" i="2"/>
  <c r="G307" i="2"/>
  <c r="I306" i="2"/>
  <c r="H306" i="2"/>
  <c r="G306" i="2"/>
  <c r="I305" i="2"/>
  <c r="H305" i="2"/>
  <c r="G305" i="2"/>
  <c r="I304" i="2"/>
  <c r="H304" i="2"/>
  <c r="G304" i="2"/>
  <c r="I303" i="2"/>
  <c r="H303" i="2"/>
  <c r="G303" i="2"/>
  <c r="I302" i="2"/>
  <c r="H302" i="2"/>
  <c r="G302" i="2"/>
  <c r="I301" i="2"/>
  <c r="H301" i="2"/>
  <c r="G301" i="2"/>
  <c r="I300" i="2"/>
  <c r="H300" i="2"/>
  <c r="G300" i="2"/>
  <c r="I299" i="2"/>
  <c r="H299" i="2"/>
  <c r="G299" i="2"/>
  <c r="I298" i="2"/>
  <c r="H298" i="2"/>
  <c r="G298" i="2"/>
  <c r="I297" i="2"/>
  <c r="H297" i="2"/>
  <c r="G297" i="2"/>
  <c r="I296" i="2"/>
  <c r="H296" i="2"/>
  <c r="G296" i="2"/>
  <c r="I295" i="2"/>
  <c r="H295" i="2"/>
  <c r="G295" i="2"/>
  <c r="I294" i="2"/>
  <c r="H294" i="2"/>
  <c r="G294" i="2"/>
  <c r="I293" i="2"/>
  <c r="H293" i="2"/>
  <c r="G293" i="2"/>
  <c r="I292" i="2"/>
  <c r="H292" i="2"/>
  <c r="G292" i="2"/>
  <c r="I291" i="2"/>
  <c r="H291" i="2"/>
  <c r="G291" i="2"/>
  <c r="I290" i="2"/>
  <c r="H290" i="2"/>
  <c r="G290" i="2"/>
  <c r="I289" i="2"/>
  <c r="H289" i="2"/>
  <c r="G289" i="2"/>
  <c r="I288" i="2"/>
  <c r="H288" i="2"/>
  <c r="G288" i="2"/>
  <c r="I287" i="2"/>
  <c r="H287" i="2"/>
  <c r="G287" i="2"/>
  <c r="I286" i="2"/>
  <c r="H286" i="2"/>
  <c r="G286" i="2"/>
  <c r="I285" i="2"/>
  <c r="H285" i="2"/>
  <c r="G285" i="2"/>
  <c r="I284" i="2"/>
  <c r="H284" i="2"/>
  <c r="G284" i="2"/>
  <c r="I283" i="2"/>
  <c r="H283" i="2"/>
  <c r="G283" i="2"/>
  <c r="I282" i="2"/>
  <c r="H282" i="2"/>
  <c r="G282" i="2"/>
  <c r="I281" i="2"/>
  <c r="H281" i="2"/>
  <c r="G281" i="2"/>
  <c r="I280" i="2"/>
  <c r="H280" i="2"/>
  <c r="G280" i="2"/>
  <c r="I279" i="2"/>
  <c r="H279" i="2"/>
  <c r="G279" i="2"/>
  <c r="I278" i="2"/>
  <c r="H278" i="2"/>
  <c r="G278" i="2"/>
  <c r="I277" i="2"/>
  <c r="H277" i="2"/>
  <c r="G277" i="2"/>
  <c r="I276" i="2"/>
  <c r="H276" i="2"/>
  <c r="G276" i="2"/>
  <c r="I275" i="2"/>
  <c r="H275" i="2"/>
  <c r="G275" i="2"/>
  <c r="I274" i="2"/>
  <c r="H274" i="2"/>
  <c r="G274" i="2"/>
  <c r="I273" i="2"/>
  <c r="H273" i="2"/>
  <c r="G273" i="2"/>
  <c r="I272" i="2"/>
  <c r="H272" i="2"/>
  <c r="G272" i="2"/>
  <c r="I271" i="2"/>
  <c r="H271" i="2"/>
  <c r="G271" i="2"/>
  <c r="I270" i="2"/>
  <c r="H270" i="2"/>
  <c r="G270" i="2"/>
  <c r="I269" i="2"/>
  <c r="H269" i="2"/>
  <c r="G269" i="2"/>
  <c r="I268" i="2"/>
  <c r="H268" i="2"/>
  <c r="G268" i="2"/>
  <c r="I267" i="2"/>
  <c r="H267" i="2"/>
  <c r="G267" i="2"/>
  <c r="I266" i="2"/>
  <c r="H266" i="2"/>
  <c r="G266" i="2"/>
  <c r="I265" i="2"/>
  <c r="H265" i="2"/>
  <c r="G265" i="2"/>
  <c r="I264" i="2"/>
  <c r="H264" i="2"/>
  <c r="G264" i="2"/>
  <c r="I263" i="2"/>
  <c r="H263" i="2"/>
  <c r="G263" i="2"/>
  <c r="I262" i="2"/>
  <c r="H262" i="2"/>
  <c r="G262" i="2"/>
  <c r="I261" i="2"/>
  <c r="H261" i="2"/>
  <c r="G261" i="2"/>
  <c r="I260" i="2"/>
  <c r="H260" i="2"/>
  <c r="G260" i="2"/>
  <c r="I259" i="2"/>
  <c r="H259" i="2"/>
  <c r="G259" i="2"/>
  <c r="I258" i="2"/>
  <c r="H258" i="2"/>
  <c r="G258" i="2"/>
  <c r="I257" i="2"/>
  <c r="H257" i="2"/>
  <c r="G257" i="2"/>
  <c r="I256" i="2"/>
  <c r="H256" i="2"/>
  <c r="G256" i="2"/>
  <c r="I255" i="2"/>
  <c r="H255" i="2"/>
  <c r="G255" i="2"/>
  <c r="I254" i="2"/>
  <c r="H254" i="2"/>
  <c r="G254" i="2"/>
  <c r="I253" i="2"/>
  <c r="H253" i="2"/>
  <c r="G253" i="2"/>
  <c r="I252" i="2"/>
  <c r="H252" i="2"/>
  <c r="G252" i="2"/>
  <c r="I251" i="2"/>
  <c r="H251" i="2"/>
  <c r="G251" i="2"/>
  <c r="I250" i="2"/>
  <c r="H250" i="2"/>
  <c r="G250" i="2"/>
  <c r="I249" i="2"/>
  <c r="H249" i="2"/>
  <c r="G249" i="2"/>
  <c r="I248" i="2"/>
  <c r="H248" i="2"/>
  <c r="G248" i="2"/>
  <c r="I247" i="2"/>
  <c r="H247" i="2"/>
  <c r="G247" i="2"/>
  <c r="I246" i="2"/>
  <c r="H246" i="2"/>
  <c r="G246" i="2"/>
  <c r="I245" i="2"/>
  <c r="H245" i="2"/>
  <c r="G245" i="2"/>
  <c r="I244" i="2"/>
  <c r="H244" i="2"/>
  <c r="G244" i="2"/>
  <c r="I243" i="2"/>
  <c r="H243" i="2"/>
  <c r="G243" i="2"/>
  <c r="I242" i="2"/>
  <c r="H242" i="2"/>
  <c r="G242" i="2"/>
  <c r="I241" i="2"/>
  <c r="H241" i="2"/>
  <c r="G241" i="2"/>
  <c r="I240" i="2"/>
  <c r="H240" i="2"/>
  <c r="G240" i="2"/>
  <c r="I239" i="2"/>
  <c r="H239" i="2"/>
  <c r="G239" i="2"/>
  <c r="I238" i="2"/>
  <c r="H238" i="2"/>
  <c r="G238" i="2"/>
  <c r="I237" i="2"/>
  <c r="H237" i="2"/>
  <c r="G237" i="2"/>
  <c r="I236" i="2"/>
  <c r="H236" i="2"/>
  <c r="G236" i="2"/>
  <c r="I235" i="2"/>
  <c r="H235" i="2"/>
  <c r="G235" i="2"/>
  <c r="I234" i="2"/>
  <c r="H234" i="2"/>
  <c r="G234" i="2"/>
  <c r="I233" i="2"/>
  <c r="H233" i="2"/>
  <c r="G233" i="2"/>
  <c r="I232" i="2"/>
  <c r="H232" i="2"/>
  <c r="G232" i="2"/>
  <c r="I231" i="2"/>
  <c r="H231" i="2"/>
  <c r="G231" i="2"/>
  <c r="I230" i="2"/>
  <c r="H230" i="2"/>
  <c r="G230" i="2"/>
  <c r="I229" i="2"/>
  <c r="H229" i="2"/>
  <c r="G229" i="2"/>
  <c r="I228" i="2"/>
  <c r="H228" i="2"/>
  <c r="G228" i="2"/>
  <c r="I227" i="2"/>
  <c r="H227" i="2"/>
  <c r="G227" i="2"/>
  <c r="I226" i="2"/>
  <c r="H226" i="2"/>
  <c r="G226" i="2"/>
  <c r="I225" i="2"/>
  <c r="H225" i="2"/>
  <c r="G225" i="2"/>
  <c r="I224" i="2"/>
  <c r="H224" i="2"/>
  <c r="G224" i="2"/>
  <c r="I223" i="2"/>
  <c r="H223" i="2"/>
  <c r="G223" i="2"/>
  <c r="I222" i="2"/>
  <c r="H222" i="2"/>
  <c r="G222" i="2"/>
  <c r="I221" i="2"/>
  <c r="H221" i="2"/>
  <c r="G221" i="2"/>
  <c r="I220" i="2"/>
  <c r="H220" i="2"/>
  <c r="G220" i="2"/>
  <c r="I219" i="2"/>
  <c r="H219" i="2"/>
  <c r="G219" i="2"/>
  <c r="I218" i="2"/>
  <c r="H218" i="2"/>
  <c r="G218" i="2"/>
  <c r="I217" i="2"/>
  <c r="H217" i="2"/>
  <c r="G217" i="2"/>
  <c r="I216" i="2"/>
  <c r="H216" i="2"/>
  <c r="G216" i="2"/>
  <c r="I215" i="2"/>
  <c r="H215" i="2"/>
  <c r="G215" i="2"/>
  <c r="I214" i="2"/>
  <c r="H214" i="2"/>
  <c r="G214" i="2"/>
  <c r="I213" i="2"/>
  <c r="H213" i="2"/>
  <c r="G213" i="2"/>
  <c r="I212" i="2"/>
  <c r="H212" i="2"/>
  <c r="G212" i="2"/>
  <c r="I211" i="2"/>
  <c r="H211" i="2"/>
  <c r="G211" i="2"/>
  <c r="I210" i="2"/>
  <c r="H210" i="2"/>
  <c r="G210" i="2"/>
  <c r="I209" i="2"/>
  <c r="H209" i="2"/>
  <c r="G209" i="2"/>
  <c r="I208" i="2"/>
  <c r="H208" i="2"/>
  <c r="G208" i="2"/>
  <c r="I207" i="2"/>
  <c r="H207" i="2"/>
  <c r="G207" i="2"/>
  <c r="I206" i="2"/>
  <c r="H206" i="2"/>
  <c r="G206" i="2"/>
  <c r="I205" i="2"/>
  <c r="H205" i="2"/>
  <c r="G205" i="2"/>
  <c r="I204" i="2"/>
  <c r="H204" i="2"/>
  <c r="G204" i="2"/>
  <c r="I203" i="2"/>
  <c r="H203" i="2"/>
  <c r="G203" i="2"/>
  <c r="I202" i="2"/>
  <c r="H202" i="2"/>
  <c r="G202" i="2"/>
  <c r="I201" i="2"/>
  <c r="H201" i="2"/>
  <c r="G201" i="2"/>
  <c r="I200" i="2"/>
  <c r="H200" i="2"/>
  <c r="G200" i="2"/>
  <c r="I199" i="2"/>
  <c r="H199" i="2"/>
  <c r="G199" i="2"/>
  <c r="I198" i="2"/>
  <c r="H198" i="2"/>
  <c r="G198" i="2"/>
  <c r="I197" i="2"/>
  <c r="H197" i="2"/>
  <c r="G197" i="2"/>
  <c r="I196" i="2"/>
  <c r="H196" i="2"/>
  <c r="G196" i="2"/>
  <c r="I195" i="2"/>
  <c r="H195" i="2"/>
  <c r="G195" i="2"/>
  <c r="I194" i="2"/>
  <c r="H194" i="2"/>
  <c r="G194" i="2"/>
  <c r="I193" i="2"/>
  <c r="H193" i="2"/>
  <c r="G193" i="2"/>
  <c r="I192" i="2"/>
  <c r="H192" i="2"/>
  <c r="G192" i="2"/>
  <c r="I191" i="2"/>
  <c r="H191" i="2"/>
  <c r="G191" i="2"/>
  <c r="I190" i="2"/>
  <c r="H190" i="2"/>
  <c r="G190" i="2"/>
  <c r="I189" i="2"/>
  <c r="H189" i="2"/>
  <c r="G189" i="2"/>
  <c r="I188" i="2"/>
  <c r="H188" i="2"/>
  <c r="G188" i="2"/>
  <c r="I187" i="2"/>
  <c r="H187" i="2"/>
  <c r="G187" i="2"/>
  <c r="I186" i="2"/>
  <c r="H186" i="2"/>
  <c r="G186" i="2"/>
  <c r="I185" i="2"/>
  <c r="H185" i="2"/>
  <c r="G185" i="2"/>
  <c r="I184" i="2"/>
  <c r="H184" i="2"/>
  <c r="G184" i="2"/>
  <c r="I183" i="2"/>
  <c r="H183" i="2"/>
  <c r="G183" i="2"/>
  <c r="I182" i="2"/>
  <c r="H182" i="2"/>
  <c r="G182" i="2"/>
  <c r="I181" i="2"/>
  <c r="H181" i="2"/>
  <c r="G181" i="2"/>
  <c r="I180" i="2"/>
  <c r="H180" i="2"/>
  <c r="G180" i="2"/>
  <c r="I179" i="2"/>
  <c r="H179" i="2"/>
  <c r="G179" i="2"/>
  <c r="I178" i="2"/>
  <c r="H178" i="2"/>
  <c r="G178" i="2"/>
  <c r="I177" i="2"/>
  <c r="H177" i="2"/>
  <c r="G177" i="2"/>
  <c r="I176" i="2"/>
  <c r="H176" i="2"/>
  <c r="G176" i="2"/>
  <c r="I175" i="2"/>
  <c r="H175" i="2"/>
  <c r="G175" i="2"/>
  <c r="I174" i="2"/>
  <c r="H174" i="2"/>
  <c r="G174" i="2"/>
  <c r="I173" i="2"/>
  <c r="H173" i="2"/>
  <c r="G173" i="2"/>
  <c r="I172" i="2"/>
  <c r="H172" i="2"/>
  <c r="G172" i="2"/>
  <c r="I171" i="2"/>
  <c r="H171" i="2"/>
  <c r="G171" i="2"/>
  <c r="I170" i="2"/>
  <c r="H170" i="2"/>
  <c r="G170" i="2"/>
  <c r="I169" i="2"/>
  <c r="H169" i="2"/>
  <c r="G169" i="2"/>
  <c r="I168" i="2"/>
  <c r="H168" i="2"/>
  <c r="G168" i="2"/>
  <c r="I167" i="2"/>
  <c r="H167" i="2"/>
  <c r="G167" i="2"/>
  <c r="I166" i="2"/>
  <c r="H166" i="2"/>
  <c r="G166" i="2"/>
  <c r="I165" i="2"/>
  <c r="H165" i="2"/>
  <c r="G165" i="2"/>
  <c r="I164" i="2"/>
  <c r="H164" i="2"/>
  <c r="G164" i="2"/>
  <c r="I163" i="2"/>
  <c r="H163" i="2"/>
  <c r="G163" i="2"/>
  <c r="I162" i="2"/>
  <c r="H162" i="2"/>
  <c r="G162" i="2"/>
  <c r="I161" i="2"/>
  <c r="H161" i="2"/>
  <c r="G161" i="2"/>
  <c r="I160" i="2"/>
  <c r="H160" i="2"/>
  <c r="G160" i="2"/>
  <c r="I159" i="2"/>
  <c r="H159" i="2"/>
  <c r="G159" i="2"/>
  <c r="I158" i="2"/>
  <c r="H158" i="2"/>
  <c r="G158" i="2"/>
  <c r="I157" i="2"/>
  <c r="H157" i="2"/>
  <c r="G157" i="2"/>
  <c r="I156" i="2"/>
  <c r="H156" i="2"/>
  <c r="G156" i="2"/>
  <c r="I155" i="2"/>
  <c r="H155" i="2"/>
  <c r="G155" i="2"/>
  <c r="I154" i="2"/>
  <c r="H154" i="2"/>
  <c r="G154" i="2"/>
  <c r="I153" i="2"/>
  <c r="H153" i="2"/>
  <c r="G153" i="2"/>
  <c r="I152" i="2"/>
  <c r="H152" i="2"/>
  <c r="G152" i="2"/>
  <c r="I151" i="2"/>
  <c r="H151" i="2"/>
  <c r="G151" i="2"/>
  <c r="I150" i="2"/>
  <c r="H150" i="2"/>
  <c r="G150" i="2"/>
  <c r="I149" i="2"/>
  <c r="H149" i="2"/>
  <c r="G149" i="2"/>
  <c r="I148" i="2"/>
  <c r="H148" i="2"/>
  <c r="G148" i="2"/>
  <c r="I147" i="2"/>
  <c r="H147" i="2"/>
  <c r="G147" i="2"/>
  <c r="I146" i="2"/>
  <c r="H146" i="2"/>
  <c r="G146" i="2"/>
  <c r="I145" i="2"/>
  <c r="H145" i="2"/>
  <c r="G145" i="2"/>
  <c r="I144" i="2"/>
  <c r="H144" i="2"/>
  <c r="G144" i="2"/>
  <c r="I143" i="2"/>
  <c r="H143" i="2"/>
  <c r="G143" i="2"/>
  <c r="I142" i="2"/>
  <c r="H142" i="2"/>
  <c r="G142" i="2"/>
  <c r="I141" i="2"/>
  <c r="H141" i="2"/>
  <c r="G141" i="2"/>
  <c r="I140" i="2"/>
  <c r="H140" i="2"/>
  <c r="G140" i="2"/>
  <c r="I139" i="2"/>
  <c r="H139" i="2"/>
  <c r="G139" i="2"/>
  <c r="I138" i="2"/>
  <c r="H138" i="2"/>
  <c r="G138" i="2"/>
  <c r="I137" i="2"/>
  <c r="H137" i="2"/>
  <c r="G137" i="2"/>
  <c r="I136" i="2"/>
  <c r="H136" i="2"/>
  <c r="G136" i="2"/>
  <c r="I135" i="2"/>
  <c r="H135" i="2"/>
  <c r="G135" i="2"/>
  <c r="I134" i="2"/>
  <c r="H134" i="2"/>
  <c r="G134" i="2"/>
  <c r="I133" i="2"/>
  <c r="H133" i="2"/>
  <c r="G133" i="2"/>
  <c r="I132" i="2"/>
  <c r="H132" i="2"/>
  <c r="G132" i="2"/>
  <c r="I131" i="2"/>
  <c r="H131" i="2"/>
  <c r="G131" i="2"/>
  <c r="I130" i="2"/>
  <c r="H130" i="2"/>
  <c r="G130" i="2"/>
  <c r="I129" i="2"/>
  <c r="H129" i="2"/>
  <c r="G129" i="2"/>
  <c r="I128" i="2"/>
  <c r="H128" i="2"/>
  <c r="G128" i="2"/>
  <c r="I127" i="2"/>
  <c r="H127" i="2"/>
  <c r="G127" i="2"/>
  <c r="I126" i="2"/>
  <c r="H126" i="2"/>
  <c r="G126" i="2"/>
  <c r="I125" i="2"/>
  <c r="H125" i="2"/>
  <c r="G125" i="2"/>
  <c r="I124" i="2"/>
  <c r="H124" i="2"/>
  <c r="G124" i="2"/>
  <c r="I123" i="2"/>
  <c r="H123" i="2"/>
  <c r="G123" i="2"/>
  <c r="I122" i="2"/>
  <c r="H122" i="2"/>
  <c r="G122" i="2"/>
  <c r="I121" i="2"/>
  <c r="H121" i="2"/>
  <c r="G121" i="2"/>
  <c r="I120" i="2"/>
  <c r="H120" i="2"/>
  <c r="G120" i="2"/>
  <c r="I119" i="2"/>
  <c r="H119" i="2"/>
  <c r="G119" i="2"/>
  <c r="I118" i="2"/>
  <c r="H118" i="2"/>
  <c r="G118" i="2"/>
  <c r="I117" i="2"/>
  <c r="H117" i="2"/>
  <c r="G117" i="2"/>
  <c r="I116" i="2"/>
  <c r="H116" i="2"/>
  <c r="G116" i="2"/>
  <c r="I115" i="2"/>
  <c r="H115" i="2"/>
  <c r="G115" i="2"/>
  <c r="I114" i="2"/>
  <c r="H114" i="2"/>
  <c r="G114" i="2"/>
  <c r="I113" i="2"/>
  <c r="H113" i="2"/>
  <c r="G113" i="2"/>
  <c r="I112" i="2"/>
  <c r="H112" i="2"/>
  <c r="G112" i="2"/>
  <c r="I111" i="2"/>
  <c r="H111" i="2"/>
  <c r="G111" i="2"/>
  <c r="I110" i="2"/>
  <c r="H110" i="2"/>
  <c r="G110" i="2"/>
  <c r="I109" i="2"/>
  <c r="H109" i="2"/>
  <c r="G109" i="2"/>
  <c r="I108" i="2"/>
  <c r="H108" i="2"/>
  <c r="G108" i="2"/>
  <c r="I107" i="2"/>
  <c r="H107" i="2"/>
  <c r="G107" i="2"/>
  <c r="I106" i="2"/>
  <c r="H106" i="2"/>
  <c r="G106" i="2"/>
  <c r="I105" i="2"/>
  <c r="H105" i="2"/>
  <c r="G105" i="2"/>
  <c r="I104" i="2"/>
  <c r="H104" i="2"/>
  <c r="G104" i="2"/>
  <c r="I103" i="2"/>
  <c r="H103" i="2"/>
  <c r="G103" i="2"/>
  <c r="I102" i="2"/>
  <c r="H102" i="2"/>
  <c r="G102" i="2"/>
  <c r="I101" i="2"/>
  <c r="H101" i="2"/>
  <c r="G101" i="2"/>
  <c r="I100" i="2"/>
  <c r="H100" i="2"/>
  <c r="G100" i="2"/>
  <c r="I99" i="2"/>
  <c r="H99" i="2"/>
  <c r="G99" i="2"/>
  <c r="I98" i="2"/>
  <c r="H98" i="2"/>
  <c r="G98" i="2"/>
  <c r="I97" i="2"/>
  <c r="H97" i="2"/>
  <c r="G97" i="2"/>
  <c r="I96" i="2"/>
  <c r="H96" i="2"/>
  <c r="G96" i="2"/>
  <c r="I95" i="2"/>
  <c r="H95" i="2"/>
  <c r="G95" i="2"/>
  <c r="I94" i="2"/>
  <c r="H94" i="2"/>
  <c r="G94" i="2"/>
  <c r="I93" i="2"/>
  <c r="H93" i="2"/>
  <c r="G93" i="2"/>
  <c r="I92" i="2"/>
  <c r="H92" i="2"/>
  <c r="G92" i="2"/>
  <c r="I91" i="2"/>
  <c r="H91" i="2"/>
  <c r="G91" i="2"/>
  <c r="I90" i="2"/>
  <c r="H90" i="2"/>
  <c r="G90" i="2"/>
  <c r="I89" i="2"/>
  <c r="H89" i="2"/>
  <c r="G89" i="2"/>
  <c r="I88" i="2"/>
  <c r="H88" i="2"/>
  <c r="G88" i="2"/>
  <c r="I87" i="2"/>
  <c r="H87" i="2"/>
  <c r="G87" i="2"/>
  <c r="I86" i="2"/>
  <c r="H86" i="2"/>
  <c r="G86" i="2"/>
  <c r="I85" i="2"/>
  <c r="H85" i="2"/>
  <c r="G85" i="2"/>
  <c r="I84" i="2"/>
  <c r="H84" i="2"/>
  <c r="G84" i="2"/>
  <c r="I83" i="2"/>
  <c r="H83" i="2"/>
  <c r="G83" i="2"/>
  <c r="I82" i="2"/>
  <c r="H82" i="2"/>
  <c r="G82" i="2"/>
  <c r="I81" i="2"/>
  <c r="H81" i="2"/>
  <c r="G81" i="2"/>
  <c r="I80" i="2"/>
  <c r="H80" i="2"/>
  <c r="G80" i="2"/>
  <c r="I79" i="2"/>
  <c r="H79" i="2"/>
  <c r="G79" i="2"/>
  <c r="I78" i="2"/>
  <c r="H78" i="2"/>
  <c r="G78" i="2"/>
  <c r="I77" i="2"/>
  <c r="H77" i="2"/>
  <c r="G77" i="2"/>
  <c r="I76" i="2"/>
  <c r="H76" i="2"/>
  <c r="G76" i="2"/>
  <c r="I75" i="2"/>
  <c r="H75" i="2"/>
  <c r="G75" i="2"/>
  <c r="I74" i="2"/>
  <c r="H74" i="2"/>
  <c r="G74" i="2"/>
  <c r="I73" i="2"/>
  <c r="H73" i="2"/>
  <c r="G73" i="2"/>
  <c r="I72" i="2"/>
  <c r="H72" i="2"/>
  <c r="G72" i="2"/>
  <c r="I71" i="2"/>
  <c r="H71" i="2"/>
  <c r="G71" i="2"/>
  <c r="I70" i="2"/>
  <c r="H70" i="2"/>
  <c r="G70" i="2"/>
  <c r="I69" i="2"/>
  <c r="H69" i="2"/>
  <c r="G69" i="2"/>
  <c r="I68" i="2"/>
  <c r="H68" i="2"/>
  <c r="G68" i="2"/>
  <c r="I67" i="2"/>
  <c r="H67" i="2"/>
  <c r="G67" i="2"/>
  <c r="I66" i="2"/>
  <c r="H66" i="2"/>
  <c r="G66" i="2"/>
  <c r="I65" i="2"/>
  <c r="H65" i="2"/>
  <c r="G65" i="2"/>
  <c r="I64" i="2"/>
  <c r="H64" i="2"/>
  <c r="G64" i="2"/>
  <c r="I63" i="2"/>
  <c r="H63" i="2"/>
  <c r="G63" i="2"/>
  <c r="I62" i="2"/>
  <c r="H62" i="2"/>
  <c r="G62" i="2"/>
  <c r="I61" i="2"/>
  <c r="H61" i="2"/>
  <c r="G61" i="2"/>
  <c r="I60" i="2"/>
  <c r="H60" i="2"/>
  <c r="G60" i="2"/>
  <c r="I59" i="2"/>
  <c r="H59" i="2"/>
  <c r="G59" i="2"/>
  <c r="I58" i="2"/>
  <c r="H58" i="2"/>
  <c r="G58" i="2"/>
  <c r="I57" i="2"/>
  <c r="H57" i="2"/>
  <c r="G57" i="2"/>
  <c r="I56" i="2"/>
  <c r="H56" i="2"/>
  <c r="G56" i="2"/>
  <c r="I55" i="2"/>
  <c r="H55" i="2"/>
  <c r="G55" i="2"/>
  <c r="I54" i="2"/>
  <c r="H54" i="2"/>
  <c r="G54" i="2"/>
  <c r="I53" i="2"/>
  <c r="H53" i="2"/>
  <c r="G53" i="2"/>
  <c r="I52" i="2"/>
  <c r="H52" i="2"/>
  <c r="G52" i="2"/>
  <c r="I51" i="2"/>
  <c r="H51" i="2"/>
  <c r="G51" i="2"/>
  <c r="I50" i="2"/>
  <c r="H50" i="2"/>
  <c r="G50" i="2"/>
  <c r="I49" i="2"/>
  <c r="H49" i="2"/>
  <c r="G49" i="2"/>
  <c r="I48" i="2"/>
  <c r="H48" i="2"/>
  <c r="G48" i="2"/>
  <c r="I47" i="2"/>
  <c r="H47" i="2"/>
  <c r="G47" i="2"/>
  <c r="I46" i="2"/>
  <c r="H46" i="2"/>
  <c r="G46" i="2"/>
  <c r="I45" i="2"/>
  <c r="H45" i="2"/>
  <c r="G45" i="2"/>
  <c r="I44" i="2"/>
  <c r="H44" i="2"/>
  <c r="G44" i="2"/>
  <c r="I43" i="2"/>
  <c r="H43" i="2"/>
  <c r="G43" i="2"/>
  <c r="I42" i="2"/>
  <c r="H42" i="2"/>
  <c r="G42" i="2"/>
  <c r="I41" i="2"/>
  <c r="H41" i="2"/>
  <c r="G41" i="2"/>
  <c r="I40" i="2"/>
  <c r="H40" i="2"/>
  <c r="G40" i="2"/>
  <c r="I39" i="2"/>
  <c r="H39" i="2"/>
  <c r="G39" i="2"/>
  <c r="I38" i="2"/>
  <c r="H38" i="2"/>
  <c r="G38" i="2"/>
  <c r="I37" i="2"/>
  <c r="H37" i="2"/>
  <c r="G37" i="2"/>
  <c r="I36" i="2"/>
  <c r="H36" i="2"/>
  <c r="G36" i="2"/>
  <c r="I35" i="2"/>
  <c r="H35" i="2"/>
  <c r="G35" i="2"/>
  <c r="I34" i="2"/>
  <c r="H34" i="2"/>
  <c r="G34" i="2"/>
  <c r="I33" i="2"/>
  <c r="H33" i="2"/>
  <c r="G33" i="2"/>
  <c r="I32" i="2"/>
  <c r="H32" i="2"/>
  <c r="G32" i="2"/>
  <c r="I31" i="2"/>
  <c r="H31" i="2"/>
  <c r="G31" i="2"/>
  <c r="I30" i="2"/>
  <c r="H30" i="2"/>
  <c r="G30" i="2"/>
  <c r="I29" i="2"/>
  <c r="H29" i="2"/>
  <c r="G29" i="2"/>
  <c r="I28" i="2"/>
  <c r="H28" i="2"/>
  <c r="G28" i="2"/>
  <c r="I27" i="2"/>
  <c r="H27" i="2"/>
  <c r="G27" i="2"/>
  <c r="I26" i="2"/>
  <c r="H26" i="2"/>
  <c r="G26" i="2"/>
  <c r="I25" i="2"/>
  <c r="H25" i="2"/>
  <c r="G25" i="2"/>
  <c r="I24" i="2"/>
  <c r="H24" i="2"/>
  <c r="G24" i="2"/>
  <c r="I23" i="2"/>
  <c r="H23" i="2"/>
  <c r="G23" i="2"/>
  <c r="I22" i="2"/>
  <c r="H22" i="2"/>
  <c r="G22" i="2"/>
  <c r="I21" i="2"/>
  <c r="H21" i="2"/>
  <c r="G21" i="2"/>
  <c r="I11" i="2"/>
  <c r="H11" i="2"/>
  <c r="N15" i="11" l="1"/>
  <c r="AF15" i="11"/>
  <c r="AE15" i="11"/>
  <c r="AD15" i="11"/>
  <c r="AC15" i="11"/>
  <c r="AB15" i="11"/>
  <c r="AA15" i="11"/>
  <c r="Z15" i="11"/>
  <c r="Y15" i="11"/>
  <c r="X15" i="11"/>
  <c r="W15" i="11"/>
  <c r="T15" i="11"/>
  <c r="S15" i="11"/>
  <c r="R15" i="11"/>
  <c r="Q15" i="11"/>
  <c r="I15" i="11"/>
  <c r="K15" i="11"/>
  <c r="L15" i="11"/>
  <c r="J15" i="11"/>
  <c r="H15" i="11"/>
  <c r="B20" i="10" l="1"/>
  <c r="C20" i="10" s="1"/>
  <c r="C19" i="10"/>
  <c r="D19" i="10" s="1"/>
  <c r="C18" i="10"/>
  <c r="D18" i="10" s="1"/>
  <c r="B17" i="10"/>
  <c r="J16" i="10"/>
  <c r="G19" i="10" s="1"/>
  <c r="C5" i="10"/>
  <c r="D5" i="10" s="1"/>
  <c r="C4" i="10"/>
  <c r="D4" i="10" s="1"/>
  <c r="B3" i="10"/>
  <c r="J2" i="10"/>
  <c r="G5" i="10" s="1"/>
  <c r="B6" i="10"/>
  <c r="C6" i="10" s="1"/>
  <c r="B13" i="10"/>
  <c r="C13" i="10" s="1"/>
  <c r="B10" i="10"/>
  <c r="F18" i="10" l="1"/>
  <c r="I20" i="10"/>
  <c r="J20" i="10"/>
  <c r="G20" i="10"/>
  <c r="F20" i="10"/>
  <c r="D20" i="10"/>
  <c r="D17" i="10" s="1"/>
  <c r="E19" i="10" s="1"/>
  <c r="F4" i="10"/>
  <c r="J13" i="10"/>
  <c r="F13" i="10"/>
  <c r="G13" i="10"/>
  <c r="D13" i="10"/>
  <c r="I13" i="10"/>
  <c r="G6" i="10"/>
  <c r="F6" i="10"/>
  <c r="D6" i="10"/>
  <c r="J6" i="10"/>
  <c r="I6" i="10"/>
  <c r="C12" i="10"/>
  <c r="D12" i="10" s="1"/>
  <c r="C11" i="10"/>
  <c r="D11" i="10" s="1"/>
  <c r="J9" i="10"/>
  <c r="G12" i="10" s="1"/>
  <c r="K20" i="10" l="1"/>
  <c r="E18" i="10"/>
  <c r="E20" i="10"/>
  <c r="G18" i="10"/>
  <c r="F17" i="10"/>
  <c r="G4" i="10"/>
  <c r="F3" i="10"/>
  <c r="D3" i="10"/>
  <c r="E6" i="10" s="1"/>
  <c r="K6" i="10"/>
  <c r="D10" i="10"/>
  <c r="E11" i="10" s="1"/>
  <c r="K13" i="10"/>
  <c r="F11" i="10"/>
  <c r="I19" i="10" l="1"/>
  <c r="J19" i="10" s="1"/>
  <c r="K19" i="10" s="1"/>
  <c r="G17" i="10"/>
  <c r="H18" i="10" s="1"/>
  <c r="I18" i="10"/>
  <c r="E12" i="10"/>
  <c r="E13" i="10"/>
  <c r="E4" i="10"/>
  <c r="E5" i="10"/>
  <c r="I5" i="10"/>
  <c r="J5" i="10" s="1"/>
  <c r="K5" i="10" s="1"/>
  <c r="G3" i="10"/>
  <c r="H5" i="10" s="1"/>
  <c r="I4" i="10"/>
  <c r="G11" i="10"/>
  <c r="F10" i="10"/>
  <c r="C25" i="8"/>
  <c r="C8" i="8"/>
  <c r="C24" i="8" s="1"/>
  <c r="L7" i="8"/>
  <c r="P7" i="8"/>
  <c r="L8" i="8"/>
  <c r="P8" i="8"/>
  <c r="L9" i="8"/>
  <c r="P9" i="8"/>
  <c r="L10" i="8"/>
  <c r="P10" i="8"/>
  <c r="L11" i="8"/>
  <c r="P11" i="8"/>
  <c r="L12" i="8"/>
  <c r="P12" i="8"/>
  <c r="L13" i="8"/>
  <c r="P13" i="8"/>
  <c r="L14" i="8"/>
  <c r="P14" i="8"/>
  <c r="L15" i="8"/>
  <c r="P15" i="8"/>
  <c r="L16" i="8"/>
  <c r="P16" i="8"/>
  <c r="L17" i="8"/>
  <c r="P17" i="8"/>
  <c r="L18" i="8"/>
  <c r="P18" i="8"/>
  <c r="L19" i="8"/>
  <c r="P19" i="8"/>
  <c r="L20" i="8"/>
  <c r="P20" i="8"/>
  <c r="L21" i="8"/>
  <c r="P21" i="8"/>
  <c r="L22" i="8"/>
  <c r="P22" i="8"/>
  <c r="L23" i="8"/>
  <c r="P23" i="8"/>
  <c r="L24" i="8"/>
  <c r="P24" i="8"/>
  <c r="L25" i="8"/>
  <c r="P25" i="8"/>
  <c r="L26" i="8"/>
  <c r="P26" i="8"/>
  <c r="L27" i="8"/>
  <c r="P27" i="8"/>
  <c r="L28" i="8"/>
  <c r="P28" i="8"/>
  <c r="L29" i="8"/>
  <c r="P29" i="8"/>
  <c r="K23" i="9"/>
  <c r="K20" i="9"/>
  <c r="K17" i="9"/>
  <c r="K16" i="9"/>
  <c r="F28" i="9"/>
  <c r="F27" i="9"/>
  <c r="F25" i="9"/>
  <c r="F22" i="9"/>
  <c r="F21" i="9"/>
  <c r="F20" i="9"/>
  <c r="F16" i="9"/>
  <c r="F13" i="9"/>
  <c r="F10" i="9"/>
  <c r="F9" i="9"/>
  <c r="F8" i="9"/>
  <c r="C12" i="8"/>
  <c r="C22" i="8" s="1"/>
  <c r="F29" i="7"/>
  <c r="F28" i="7"/>
  <c r="F27" i="7"/>
  <c r="F26" i="7"/>
  <c r="F25" i="7"/>
  <c r="F24" i="7"/>
  <c r="F23" i="7"/>
  <c r="F22" i="7"/>
  <c r="F21" i="7"/>
  <c r="F20" i="7"/>
  <c r="F19" i="7"/>
  <c r="F18" i="7"/>
  <c r="F17" i="7"/>
  <c r="F16" i="7"/>
  <c r="F15" i="7"/>
  <c r="F13" i="7"/>
  <c r="F12" i="7"/>
  <c r="F11" i="7"/>
  <c r="F10" i="7"/>
  <c r="F9" i="7"/>
  <c r="F8" i="7"/>
  <c r="F7" i="7"/>
  <c r="F6" i="7"/>
  <c r="F4" i="7"/>
  <c r="T3" i="8" l="1"/>
  <c r="U3" i="8" s="1"/>
  <c r="T4" i="8" s="1"/>
  <c r="R3" i="8"/>
  <c r="N3" i="8"/>
  <c r="N4" i="8" s="1"/>
  <c r="F14" i="7"/>
  <c r="I17" i="10"/>
  <c r="J18" i="10"/>
  <c r="H19" i="10"/>
  <c r="H20" i="10"/>
  <c r="H4" i="10"/>
  <c r="H6" i="10"/>
  <c r="J4" i="10"/>
  <c r="I3" i="10"/>
  <c r="I11" i="10"/>
  <c r="J11" i="10" s="1"/>
  <c r="G10" i="10"/>
  <c r="I12" i="10"/>
  <c r="K25" i="9"/>
  <c r="F17" i="9"/>
  <c r="K18" i="9"/>
  <c r="F15" i="9"/>
  <c r="K4" i="9"/>
  <c r="K14" i="9"/>
  <c r="K8" i="9"/>
  <c r="K11" i="9"/>
  <c r="K27" i="9"/>
  <c r="K6" i="9"/>
  <c r="K13" i="9"/>
  <c r="K28" i="9"/>
  <c r="F19" i="9"/>
  <c r="K9" i="9"/>
  <c r="K26" i="9"/>
  <c r="F11" i="9"/>
  <c r="F14" i="9"/>
  <c r="F23" i="9"/>
  <c r="F26" i="9"/>
  <c r="K21" i="9"/>
  <c r="K7" i="9"/>
  <c r="K10" i="9"/>
  <c r="F5" i="9"/>
  <c r="F6" i="9"/>
  <c r="F12" i="9"/>
  <c r="F18" i="9"/>
  <c r="F24" i="9"/>
  <c r="F7" i="9"/>
  <c r="K5" i="9"/>
  <c r="K19" i="9"/>
  <c r="K22" i="9"/>
  <c r="K15" i="9"/>
  <c r="F4" i="9"/>
  <c r="K12" i="9"/>
  <c r="K24" i="9"/>
  <c r="O4" i="8" l="1"/>
  <c r="N5" i="8"/>
  <c r="S3" i="8"/>
  <c r="R4" i="8" s="1"/>
  <c r="J17" i="10"/>
  <c r="K18" i="10"/>
  <c r="K4" i="10"/>
  <c r="J3" i="10"/>
  <c r="H13" i="10"/>
  <c r="H12" i="10"/>
  <c r="H11" i="10"/>
  <c r="I10" i="10"/>
  <c r="J12" i="10"/>
  <c r="K12" i="10" s="1"/>
  <c r="U4" i="8" l="1"/>
  <c r="T5" i="8" s="1"/>
  <c r="O5" i="8" s="1"/>
  <c r="S4" i="8"/>
  <c r="R5" i="8" s="1"/>
  <c r="N6" i="8"/>
  <c r="N7" i="8" s="1"/>
  <c r="N8" i="8" s="1"/>
  <c r="N9" i="8" s="1"/>
  <c r="N10" i="8" s="1"/>
  <c r="N11" i="8" s="1"/>
  <c r="N12" i="8" s="1"/>
  <c r="N13" i="8" s="1"/>
  <c r="N14" i="8" s="1"/>
  <c r="N15" i="8" s="1"/>
  <c r="N16" i="8" s="1"/>
  <c r="N17" i="8" s="1"/>
  <c r="N18" i="8" s="1"/>
  <c r="N19" i="8" s="1"/>
  <c r="N20" i="8" s="1"/>
  <c r="N21" i="8" s="1"/>
  <c r="N22" i="8" s="1"/>
  <c r="N23" i="8" s="1"/>
  <c r="N24" i="8" s="1"/>
  <c r="N25" i="8" s="1"/>
  <c r="N26" i="8" s="1"/>
  <c r="N27" i="8" s="1"/>
  <c r="N28" i="8" s="1"/>
  <c r="N29" i="8" s="1"/>
  <c r="C27" i="8" s="1"/>
  <c r="I6" i="8"/>
  <c r="J6" i="8" s="1"/>
  <c r="I7" i="8" s="1"/>
  <c r="J7" i="8" s="1"/>
  <c r="G3" i="8"/>
  <c r="K17" i="10"/>
  <c r="K16" i="10"/>
  <c r="K3" i="10"/>
  <c r="K2" i="10"/>
  <c r="J10" i="10"/>
  <c r="U5" i="8" l="1"/>
  <c r="T6" i="8" s="1"/>
  <c r="S5" i="8"/>
  <c r="G4" i="8"/>
  <c r="I8" i="8"/>
  <c r="J8" i="8" s="1"/>
  <c r="K10" i="10"/>
  <c r="K11" i="10"/>
  <c r="H4" i="8" l="1"/>
  <c r="K4" i="8"/>
  <c r="I9" i="8"/>
  <c r="J9" i="8" s="1"/>
  <c r="K9" i="10"/>
  <c r="I10" i="8" l="1"/>
  <c r="J10" i="8" s="1"/>
  <c r="I11" i="8" l="1"/>
  <c r="J11" i="8" s="1"/>
  <c r="I12" i="8" l="1"/>
  <c r="J12" i="8" s="1"/>
  <c r="I13" i="8" l="1"/>
  <c r="J13" i="8" s="1"/>
  <c r="I14" i="8" l="1"/>
  <c r="J14" i="8" s="1"/>
  <c r="I15" i="8" l="1"/>
  <c r="J15" i="8" s="1"/>
  <c r="I16" i="8" l="1"/>
  <c r="J16" i="8" s="1"/>
  <c r="I17" i="8" l="1"/>
  <c r="J17" i="8" s="1"/>
  <c r="I18" i="8" l="1"/>
  <c r="J18" i="8" s="1"/>
  <c r="I19" i="8" l="1"/>
  <c r="J19" i="8" s="1"/>
  <c r="I20" i="8" l="1"/>
  <c r="J20" i="8" s="1"/>
  <c r="I21" i="8" l="1"/>
  <c r="J21" i="8" s="1"/>
  <c r="I22" i="8" l="1"/>
  <c r="J22" i="8" s="1"/>
  <c r="I23" i="8" l="1"/>
  <c r="J23" i="8" s="1"/>
  <c r="I24" i="8" l="1"/>
  <c r="J24" i="8" s="1"/>
  <c r="I25" i="8" l="1"/>
  <c r="J25" i="8" s="1"/>
  <c r="I26" i="8" l="1"/>
  <c r="J26" i="8" s="1"/>
  <c r="I27" i="8" l="1"/>
  <c r="J27" i="8" s="1"/>
  <c r="I28" i="8" l="1"/>
  <c r="J28" i="8" s="1"/>
  <c r="I29" i="8" l="1"/>
  <c r="J29" i="8" s="1"/>
  <c r="F68" i="2" l="1"/>
  <c r="F56" i="2"/>
  <c r="F44" i="2"/>
  <c r="F32" i="2"/>
  <c r="F2" i="2"/>
  <c r="G11" i="2"/>
  <c r="F11" i="4"/>
  <c r="F2" i="4" s="1"/>
  <c r="F5" i="4" s="1"/>
  <c r="L320" i="4"/>
  <c r="L319" i="4"/>
  <c r="M319" i="4" s="1"/>
  <c r="L318" i="4"/>
  <c r="M318" i="4" s="1"/>
  <c r="L317" i="4"/>
  <c r="M317" i="4" s="1"/>
  <c r="L316" i="4"/>
  <c r="M316" i="4" s="1"/>
  <c r="L315" i="4"/>
  <c r="M315" i="4" s="1"/>
  <c r="L306" i="4"/>
  <c r="M306" i="4" s="1"/>
  <c r="L305" i="4"/>
  <c r="M305" i="4" s="1"/>
  <c r="L304" i="4"/>
  <c r="M304" i="4" s="1"/>
  <c r="L303" i="4"/>
  <c r="M303" i="4" s="1"/>
  <c r="L302" i="4"/>
  <c r="M302" i="4" s="1"/>
  <c r="L301" i="4"/>
  <c r="M301" i="4" s="1"/>
  <c r="L300" i="4"/>
  <c r="M300" i="4" s="1"/>
  <c r="L299" i="4"/>
  <c r="M299" i="4" s="1"/>
  <c r="L298" i="4"/>
  <c r="M298" i="4" s="1"/>
  <c r="L297" i="4"/>
  <c r="M297" i="4" s="1"/>
  <c r="L296" i="4"/>
  <c r="M296" i="4" s="1"/>
  <c r="L295" i="4"/>
  <c r="M295" i="4" s="1"/>
  <c r="L294" i="4"/>
  <c r="M294" i="4" s="1"/>
  <c r="L293" i="4"/>
  <c r="M293" i="4" s="1"/>
  <c r="L292" i="4"/>
  <c r="M292" i="4" s="1"/>
  <c r="L291" i="4"/>
  <c r="M291" i="4" s="1"/>
  <c r="L290" i="4"/>
  <c r="M290" i="4" s="1"/>
  <c r="L289" i="4"/>
  <c r="M289" i="4" s="1"/>
  <c r="L288" i="4"/>
  <c r="M288" i="4" s="1"/>
  <c r="L287" i="4"/>
  <c r="M287" i="4" s="1"/>
  <c r="L286" i="4"/>
  <c r="M286" i="4" s="1"/>
  <c r="L285" i="4"/>
  <c r="M285" i="4" s="1"/>
  <c r="L284" i="4"/>
  <c r="M284" i="4" s="1"/>
  <c r="L283" i="4"/>
  <c r="M283" i="4" s="1"/>
  <c r="L282" i="4"/>
  <c r="M282" i="4" s="1"/>
  <c r="L281" i="4"/>
  <c r="M281" i="4" s="1"/>
  <c r="L280" i="4"/>
  <c r="M280" i="4" s="1"/>
  <c r="L279" i="4"/>
  <c r="M279" i="4" s="1"/>
  <c r="L278" i="4"/>
  <c r="M278" i="4" s="1"/>
  <c r="L277" i="4"/>
  <c r="M277" i="4" s="1"/>
  <c r="L276" i="4"/>
  <c r="M276" i="4" s="1"/>
  <c r="L275" i="4"/>
  <c r="M275" i="4" s="1"/>
  <c r="L274" i="4"/>
  <c r="M274" i="4" s="1"/>
  <c r="L273" i="4"/>
  <c r="M273" i="4" s="1"/>
  <c r="L272" i="4"/>
  <c r="M272" i="4" s="1"/>
  <c r="L271" i="4"/>
  <c r="M271" i="4" s="1"/>
  <c r="L270" i="4"/>
  <c r="M270" i="4" s="1"/>
  <c r="L269" i="4"/>
  <c r="M269" i="4" s="1"/>
  <c r="L268" i="4"/>
  <c r="M268" i="4" s="1"/>
  <c r="L267" i="4"/>
  <c r="M267" i="4" s="1"/>
  <c r="L266" i="4"/>
  <c r="M266" i="4" s="1"/>
  <c r="L265" i="4"/>
  <c r="M265" i="4" s="1"/>
  <c r="L264" i="4"/>
  <c r="M264" i="4" s="1"/>
  <c r="L263" i="4"/>
  <c r="M263" i="4" s="1"/>
  <c r="L262" i="4"/>
  <c r="M262" i="4" s="1"/>
  <c r="L261" i="4"/>
  <c r="M261" i="4" s="1"/>
  <c r="L260" i="4"/>
  <c r="M260" i="4" s="1"/>
  <c r="L259" i="4"/>
  <c r="M259" i="4" s="1"/>
  <c r="L258" i="4"/>
  <c r="M258" i="4" s="1"/>
  <c r="L257" i="4"/>
  <c r="M257" i="4" s="1"/>
  <c r="L256" i="4"/>
  <c r="M256" i="4" s="1"/>
  <c r="L255" i="4"/>
  <c r="M255" i="4" s="1"/>
  <c r="L254" i="4"/>
  <c r="M254" i="4" s="1"/>
  <c r="L253" i="4"/>
  <c r="M253" i="4" s="1"/>
  <c r="L252" i="4"/>
  <c r="M252" i="4" s="1"/>
  <c r="L251" i="4"/>
  <c r="M251" i="4" s="1"/>
  <c r="L250" i="4"/>
  <c r="M250" i="4" s="1"/>
  <c r="L249" i="4"/>
  <c r="M249" i="4" s="1"/>
  <c r="L248" i="4"/>
  <c r="M248" i="4" s="1"/>
  <c r="L247" i="4"/>
  <c r="M247" i="4" s="1"/>
  <c r="L246" i="4"/>
  <c r="M246" i="4" s="1"/>
  <c r="L245" i="4"/>
  <c r="M245" i="4" s="1"/>
  <c r="L244" i="4"/>
  <c r="M244" i="4" s="1"/>
  <c r="L243" i="4"/>
  <c r="M243" i="4" s="1"/>
  <c r="L242" i="4"/>
  <c r="M242" i="4" s="1"/>
  <c r="L241" i="4"/>
  <c r="M241" i="4" s="1"/>
  <c r="L240" i="4"/>
  <c r="M240" i="4" s="1"/>
  <c r="L239" i="4"/>
  <c r="M239" i="4" s="1"/>
  <c r="L238" i="4"/>
  <c r="M238" i="4" s="1"/>
  <c r="L237" i="4"/>
  <c r="M237" i="4" s="1"/>
  <c r="L236" i="4"/>
  <c r="M236" i="4" s="1"/>
  <c r="L235" i="4"/>
  <c r="M235" i="4" s="1"/>
  <c r="L234" i="4"/>
  <c r="M234" i="4" s="1"/>
  <c r="L233" i="4"/>
  <c r="M233" i="4" s="1"/>
  <c r="L232" i="4"/>
  <c r="M232" i="4" s="1"/>
  <c r="L231" i="4"/>
  <c r="M231" i="4" s="1"/>
  <c r="L230" i="4"/>
  <c r="M230" i="4" s="1"/>
  <c r="L229" i="4"/>
  <c r="M229" i="4" s="1"/>
  <c r="L228" i="4"/>
  <c r="M228" i="4" s="1"/>
  <c r="L227" i="4"/>
  <c r="M227" i="4" s="1"/>
  <c r="L226" i="4"/>
  <c r="M226" i="4" s="1"/>
  <c r="L225" i="4"/>
  <c r="M225" i="4" s="1"/>
  <c r="L224" i="4"/>
  <c r="M224" i="4" s="1"/>
  <c r="L223" i="4"/>
  <c r="M223" i="4" s="1"/>
  <c r="L222" i="4"/>
  <c r="M222" i="4" s="1"/>
  <c r="L221" i="4"/>
  <c r="M221" i="4" s="1"/>
  <c r="L220" i="4"/>
  <c r="M220" i="4" s="1"/>
  <c r="L219" i="4"/>
  <c r="M219" i="4" s="1"/>
  <c r="L218" i="4"/>
  <c r="M218" i="4" s="1"/>
  <c r="L217" i="4"/>
  <c r="M217" i="4" s="1"/>
  <c r="L216" i="4"/>
  <c r="M216" i="4" s="1"/>
  <c r="L215" i="4"/>
  <c r="M215" i="4" s="1"/>
  <c r="L214" i="4"/>
  <c r="M214" i="4" s="1"/>
  <c r="L213" i="4"/>
  <c r="M213" i="4" s="1"/>
  <c r="L212" i="4"/>
  <c r="M212" i="4" s="1"/>
  <c r="L211" i="4"/>
  <c r="M211" i="4" s="1"/>
  <c r="L210" i="4"/>
  <c r="M210" i="4" s="1"/>
  <c r="L209" i="4"/>
  <c r="M209" i="4" s="1"/>
  <c r="L208" i="4"/>
  <c r="M208" i="4" s="1"/>
  <c r="L207" i="4"/>
  <c r="M207" i="4" s="1"/>
  <c r="L206" i="4"/>
  <c r="M206" i="4" s="1"/>
  <c r="L205" i="4"/>
  <c r="M205" i="4" s="1"/>
  <c r="L204" i="4"/>
  <c r="M204" i="4" s="1"/>
  <c r="L203" i="4"/>
  <c r="M203" i="4" s="1"/>
  <c r="L202" i="4"/>
  <c r="M202" i="4" s="1"/>
  <c r="L201" i="4"/>
  <c r="M201" i="4" s="1"/>
  <c r="L200" i="4"/>
  <c r="M200" i="4" s="1"/>
  <c r="L199" i="4"/>
  <c r="M199" i="4" s="1"/>
  <c r="L198" i="4"/>
  <c r="M198" i="4" s="1"/>
  <c r="L197" i="4"/>
  <c r="M197" i="4" s="1"/>
  <c r="L196" i="4"/>
  <c r="M196" i="4" s="1"/>
  <c r="L195" i="4"/>
  <c r="M195" i="4" s="1"/>
  <c r="L194" i="4"/>
  <c r="M194" i="4" s="1"/>
  <c r="L193" i="4"/>
  <c r="M193" i="4" s="1"/>
  <c r="L192" i="4"/>
  <c r="M192" i="4" s="1"/>
  <c r="L191" i="4"/>
  <c r="M191" i="4" s="1"/>
  <c r="L190" i="4"/>
  <c r="M190" i="4" s="1"/>
  <c r="L189" i="4"/>
  <c r="M189" i="4" s="1"/>
  <c r="L188" i="4"/>
  <c r="M188" i="4" s="1"/>
  <c r="L187" i="4"/>
  <c r="M187" i="4" s="1"/>
  <c r="L186" i="4"/>
  <c r="M186" i="4" s="1"/>
  <c r="L185" i="4"/>
  <c r="M185" i="4" s="1"/>
  <c r="L184" i="4"/>
  <c r="M184" i="4" s="1"/>
  <c r="L183" i="4"/>
  <c r="M183" i="4" s="1"/>
  <c r="L182" i="4"/>
  <c r="M182" i="4" s="1"/>
  <c r="L181" i="4"/>
  <c r="M181" i="4" s="1"/>
  <c r="L180" i="4"/>
  <c r="M180" i="4" s="1"/>
  <c r="L179" i="4"/>
  <c r="M179" i="4" s="1"/>
  <c r="L178" i="4"/>
  <c r="M178" i="4" s="1"/>
  <c r="L177" i="4"/>
  <c r="M177" i="4" s="1"/>
  <c r="L176" i="4"/>
  <c r="M176" i="4" s="1"/>
  <c r="L175" i="4"/>
  <c r="M175" i="4" s="1"/>
  <c r="L174" i="4"/>
  <c r="M174" i="4" s="1"/>
  <c r="L173" i="4"/>
  <c r="M173" i="4" s="1"/>
  <c r="L172" i="4"/>
  <c r="M172" i="4" s="1"/>
  <c r="L171" i="4"/>
  <c r="M171" i="4" s="1"/>
  <c r="L170" i="4"/>
  <c r="M170" i="4" s="1"/>
  <c r="L169" i="4"/>
  <c r="M169" i="4" s="1"/>
  <c r="L168" i="4"/>
  <c r="M168" i="4" s="1"/>
  <c r="L167" i="4"/>
  <c r="M167" i="4" s="1"/>
  <c r="L166" i="4"/>
  <c r="M166" i="4" s="1"/>
  <c r="L165" i="4"/>
  <c r="M165" i="4" s="1"/>
  <c r="L164" i="4"/>
  <c r="M164" i="4" s="1"/>
  <c r="L163" i="4"/>
  <c r="M163" i="4" s="1"/>
  <c r="L162" i="4"/>
  <c r="M162" i="4" s="1"/>
  <c r="L161" i="4"/>
  <c r="M161" i="4" s="1"/>
  <c r="L160" i="4"/>
  <c r="M160" i="4" s="1"/>
  <c r="L159" i="4"/>
  <c r="M159" i="4" s="1"/>
  <c r="L158" i="4"/>
  <c r="M158" i="4" s="1"/>
  <c r="L157" i="4"/>
  <c r="M157" i="4" s="1"/>
  <c r="L156" i="4"/>
  <c r="M156" i="4" s="1"/>
  <c r="L155" i="4"/>
  <c r="M155" i="4" s="1"/>
  <c r="L154" i="4"/>
  <c r="M154" i="4" s="1"/>
  <c r="L153" i="4"/>
  <c r="M153" i="4" s="1"/>
  <c r="L152" i="4"/>
  <c r="M152" i="4" s="1"/>
  <c r="L151" i="4"/>
  <c r="M151" i="4" s="1"/>
  <c r="L150" i="4"/>
  <c r="M150" i="4" s="1"/>
  <c r="L149" i="4"/>
  <c r="M149" i="4" s="1"/>
  <c r="L148" i="4"/>
  <c r="M148" i="4" s="1"/>
  <c r="L147" i="4"/>
  <c r="M147" i="4" s="1"/>
  <c r="L146" i="4"/>
  <c r="M146" i="4" s="1"/>
  <c r="L145" i="4"/>
  <c r="M145" i="4" s="1"/>
  <c r="L144" i="4"/>
  <c r="M144" i="4" s="1"/>
  <c r="L143" i="4"/>
  <c r="M143" i="4" s="1"/>
  <c r="L142" i="4"/>
  <c r="M142" i="4" s="1"/>
  <c r="L141" i="4"/>
  <c r="M141" i="4" s="1"/>
  <c r="L140" i="4"/>
  <c r="M140" i="4" s="1"/>
  <c r="L139" i="4"/>
  <c r="M139" i="4" s="1"/>
  <c r="L138" i="4"/>
  <c r="M138" i="4" s="1"/>
  <c r="L137" i="4"/>
  <c r="M137" i="4" s="1"/>
  <c r="L136" i="4"/>
  <c r="M136" i="4" s="1"/>
  <c r="L135" i="4"/>
  <c r="M135" i="4" s="1"/>
  <c r="L134" i="4"/>
  <c r="M134" i="4" s="1"/>
  <c r="L133" i="4"/>
  <c r="M133" i="4" s="1"/>
  <c r="L132" i="4"/>
  <c r="M132" i="4" s="1"/>
  <c r="L131" i="4"/>
  <c r="M131" i="4" s="1"/>
  <c r="L130" i="4"/>
  <c r="M130" i="4" s="1"/>
  <c r="L129" i="4"/>
  <c r="M129" i="4" s="1"/>
  <c r="L128" i="4"/>
  <c r="M128" i="4" s="1"/>
  <c r="L127" i="4"/>
  <c r="M127" i="4" s="1"/>
  <c r="L126" i="4"/>
  <c r="M126" i="4" s="1"/>
  <c r="L125" i="4"/>
  <c r="M125" i="4" s="1"/>
  <c r="L124" i="4"/>
  <c r="M124" i="4" s="1"/>
  <c r="L123" i="4"/>
  <c r="M123" i="4" s="1"/>
  <c r="L122" i="4"/>
  <c r="M122" i="4" s="1"/>
  <c r="L121" i="4"/>
  <c r="M121" i="4" s="1"/>
  <c r="L120" i="4"/>
  <c r="M120" i="4" s="1"/>
  <c r="L119" i="4"/>
  <c r="M119" i="4" s="1"/>
  <c r="L118" i="4"/>
  <c r="M118" i="4" s="1"/>
  <c r="L117" i="4"/>
  <c r="M117" i="4" s="1"/>
  <c r="L116" i="4"/>
  <c r="M116" i="4" s="1"/>
  <c r="L115" i="4"/>
  <c r="M115" i="4" s="1"/>
  <c r="L114" i="4"/>
  <c r="M114" i="4" s="1"/>
  <c r="L113" i="4"/>
  <c r="M113" i="4" s="1"/>
  <c r="L112" i="4"/>
  <c r="M112" i="4" s="1"/>
  <c r="L111" i="4"/>
  <c r="M111" i="4" s="1"/>
  <c r="L110" i="4"/>
  <c r="M110" i="4" s="1"/>
  <c r="L109" i="4"/>
  <c r="M109" i="4" s="1"/>
  <c r="L108" i="4"/>
  <c r="M108" i="4" s="1"/>
  <c r="L107" i="4"/>
  <c r="M107" i="4" s="1"/>
  <c r="L106" i="4"/>
  <c r="M106" i="4" s="1"/>
  <c r="L105" i="4"/>
  <c r="M105" i="4" s="1"/>
  <c r="L104" i="4"/>
  <c r="M104" i="4" s="1"/>
  <c r="L103" i="4"/>
  <c r="M103" i="4" s="1"/>
  <c r="L102" i="4"/>
  <c r="M102" i="4" s="1"/>
  <c r="L101" i="4"/>
  <c r="M101" i="4" s="1"/>
  <c r="L100" i="4"/>
  <c r="M100" i="4" s="1"/>
  <c r="L99" i="4"/>
  <c r="M99" i="4" s="1"/>
  <c r="L98" i="4"/>
  <c r="M98" i="4" s="1"/>
  <c r="L97" i="4"/>
  <c r="M97" i="4" s="1"/>
  <c r="L96" i="4"/>
  <c r="M96" i="4" s="1"/>
  <c r="L95" i="4"/>
  <c r="M95" i="4" s="1"/>
  <c r="L94" i="4"/>
  <c r="M94" i="4" s="1"/>
  <c r="L93" i="4"/>
  <c r="M93" i="4" s="1"/>
  <c r="L92" i="4"/>
  <c r="M92" i="4" s="1"/>
  <c r="L91" i="4"/>
  <c r="M91" i="4" s="1"/>
  <c r="L90" i="4"/>
  <c r="M90" i="4" s="1"/>
  <c r="L89" i="4"/>
  <c r="M89" i="4" s="1"/>
  <c r="L88" i="4"/>
  <c r="M88" i="4" s="1"/>
  <c r="L87" i="4"/>
  <c r="M87" i="4" s="1"/>
  <c r="L86" i="4"/>
  <c r="M86" i="4" s="1"/>
  <c r="L85" i="4"/>
  <c r="M85" i="4" s="1"/>
  <c r="L84" i="4"/>
  <c r="M84" i="4" s="1"/>
  <c r="L83" i="4"/>
  <c r="M83" i="4" s="1"/>
  <c r="L82" i="4"/>
  <c r="M82" i="4" s="1"/>
  <c r="L81" i="4"/>
  <c r="M81" i="4" s="1"/>
  <c r="L80" i="4"/>
  <c r="M80" i="4" s="1"/>
  <c r="L79" i="4"/>
  <c r="M79" i="4" s="1"/>
  <c r="L78" i="4"/>
  <c r="M78" i="4" s="1"/>
  <c r="L77" i="4"/>
  <c r="M77" i="4" s="1"/>
  <c r="L76" i="4"/>
  <c r="M76" i="4" s="1"/>
  <c r="L75" i="4"/>
  <c r="M75" i="4" s="1"/>
  <c r="L74" i="4"/>
  <c r="M74" i="4" s="1"/>
  <c r="L73" i="4"/>
  <c r="M73" i="4" s="1"/>
  <c r="L72" i="4"/>
  <c r="M72" i="4" s="1"/>
  <c r="L71" i="4"/>
  <c r="M71" i="4" s="1"/>
  <c r="L70" i="4"/>
  <c r="M70" i="4" s="1"/>
  <c r="L69" i="4"/>
  <c r="M69" i="4" s="1"/>
  <c r="L68" i="4"/>
  <c r="M68" i="4" s="1"/>
  <c r="L67" i="4"/>
  <c r="M67" i="4" s="1"/>
  <c r="L66" i="4"/>
  <c r="M66" i="4" s="1"/>
  <c r="L65" i="4"/>
  <c r="M65" i="4" s="1"/>
  <c r="L64" i="4"/>
  <c r="M64" i="4" s="1"/>
  <c r="L63" i="4"/>
  <c r="M63" i="4" s="1"/>
  <c r="L62" i="4"/>
  <c r="M62" i="4" s="1"/>
  <c r="L61" i="4"/>
  <c r="M61" i="4" s="1"/>
  <c r="L60" i="4"/>
  <c r="M60" i="4" s="1"/>
  <c r="L59" i="4"/>
  <c r="M59" i="4" s="1"/>
  <c r="L58" i="4"/>
  <c r="M58" i="4" s="1"/>
  <c r="L57" i="4"/>
  <c r="M57" i="4" s="1"/>
  <c r="L56" i="4"/>
  <c r="M56" i="4" s="1"/>
  <c r="L55" i="4"/>
  <c r="M55" i="4" s="1"/>
  <c r="L54" i="4"/>
  <c r="M54" i="4" s="1"/>
  <c r="L53" i="4"/>
  <c r="M53" i="4" s="1"/>
  <c r="L52" i="4"/>
  <c r="M52" i="4" s="1"/>
  <c r="L51" i="4"/>
  <c r="M51" i="4" s="1"/>
  <c r="L50" i="4"/>
  <c r="M50" i="4" s="1"/>
  <c r="L49" i="4"/>
  <c r="M49" i="4" s="1"/>
  <c r="L48" i="4"/>
  <c r="M48" i="4" s="1"/>
  <c r="L47" i="4"/>
  <c r="M47" i="4" s="1"/>
  <c r="L46" i="4"/>
  <c r="M46" i="4" s="1"/>
  <c r="L45" i="4"/>
  <c r="M45" i="4" s="1"/>
  <c r="L44" i="4"/>
  <c r="M44" i="4" s="1"/>
  <c r="L43" i="4"/>
  <c r="M43" i="4" s="1"/>
  <c r="L42" i="4"/>
  <c r="M42" i="4" s="1"/>
  <c r="L41" i="4"/>
  <c r="M41" i="4" s="1"/>
  <c r="L40" i="4"/>
  <c r="M40" i="4" s="1"/>
  <c r="L39" i="4"/>
  <c r="M39" i="4" s="1"/>
  <c r="L38" i="4"/>
  <c r="M38" i="4" s="1"/>
  <c r="L37" i="4"/>
  <c r="M37" i="4" s="1"/>
  <c r="L36" i="4"/>
  <c r="M36" i="4" s="1"/>
  <c r="L35" i="4"/>
  <c r="M35" i="4" s="1"/>
  <c r="L34" i="4"/>
  <c r="M34" i="4" s="1"/>
  <c r="L33" i="4"/>
  <c r="M33" i="4" s="1"/>
  <c r="L32" i="4"/>
  <c r="M32" i="4" s="1"/>
  <c r="L31" i="4"/>
  <c r="M31" i="4" s="1"/>
  <c r="L30" i="4"/>
  <c r="M30" i="4" s="1"/>
  <c r="L29" i="4"/>
  <c r="M29" i="4" s="1"/>
  <c r="L28" i="4"/>
  <c r="M28" i="4" s="1"/>
  <c r="L27" i="4"/>
  <c r="M27" i="4" s="1"/>
  <c r="L26" i="4"/>
  <c r="M26" i="4" s="1"/>
  <c r="L25" i="4"/>
  <c r="M25" i="4" s="1"/>
  <c r="L24" i="4"/>
  <c r="M24" i="4" s="1"/>
  <c r="L23" i="4"/>
  <c r="M23" i="4" s="1"/>
  <c r="L22" i="4"/>
  <c r="M22" i="4" s="1"/>
  <c r="L21" i="4"/>
  <c r="M21" i="4" s="1"/>
  <c r="L20" i="4"/>
  <c r="M20" i="4" s="1"/>
  <c r="L19" i="4"/>
  <c r="M19" i="4" s="1"/>
  <c r="L18" i="4"/>
  <c r="M18" i="4" s="1"/>
  <c r="L17" i="4"/>
  <c r="M17" i="4" s="1"/>
  <c r="L13" i="4"/>
  <c r="M13" i="4" s="1"/>
  <c r="L12" i="4"/>
  <c r="M12" i="4" s="1"/>
  <c r="L11" i="4"/>
  <c r="J320" i="4"/>
  <c r="J319" i="4"/>
  <c r="K319" i="4" s="1"/>
  <c r="J318" i="4"/>
  <c r="K318" i="4" s="1"/>
  <c r="J317" i="4"/>
  <c r="K317" i="4" s="1"/>
  <c r="J316" i="4"/>
  <c r="K316" i="4" s="1"/>
  <c r="J315" i="4"/>
  <c r="K315" i="4" s="1"/>
  <c r="J306" i="4"/>
  <c r="K306" i="4" s="1"/>
  <c r="J305" i="4"/>
  <c r="K305" i="4" s="1"/>
  <c r="J304" i="4"/>
  <c r="K304" i="4" s="1"/>
  <c r="J303" i="4"/>
  <c r="K303" i="4" s="1"/>
  <c r="J302" i="4"/>
  <c r="K302" i="4" s="1"/>
  <c r="J301" i="4"/>
  <c r="K301" i="4" s="1"/>
  <c r="J300" i="4"/>
  <c r="K300" i="4" s="1"/>
  <c r="J299" i="4"/>
  <c r="K299" i="4" s="1"/>
  <c r="J298" i="4"/>
  <c r="K298" i="4" s="1"/>
  <c r="J297" i="4"/>
  <c r="K297" i="4" s="1"/>
  <c r="J296" i="4"/>
  <c r="K296" i="4" s="1"/>
  <c r="J295" i="4"/>
  <c r="K295" i="4" s="1"/>
  <c r="J294" i="4"/>
  <c r="K294" i="4" s="1"/>
  <c r="J293" i="4"/>
  <c r="K293" i="4" s="1"/>
  <c r="J292" i="4"/>
  <c r="K292" i="4" s="1"/>
  <c r="J291" i="4"/>
  <c r="K291" i="4" s="1"/>
  <c r="J290" i="4"/>
  <c r="K290" i="4" s="1"/>
  <c r="J289" i="4"/>
  <c r="K289" i="4" s="1"/>
  <c r="J288" i="4"/>
  <c r="K288" i="4" s="1"/>
  <c r="J287" i="4"/>
  <c r="K287" i="4" s="1"/>
  <c r="J286" i="4"/>
  <c r="K286" i="4" s="1"/>
  <c r="J285" i="4"/>
  <c r="K285" i="4" s="1"/>
  <c r="J284" i="4"/>
  <c r="K284" i="4" s="1"/>
  <c r="J283" i="4"/>
  <c r="K283" i="4" s="1"/>
  <c r="J282" i="4"/>
  <c r="K282" i="4" s="1"/>
  <c r="J281" i="4"/>
  <c r="K281" i="4" s="1"/>
  <c r="J280" i="4"/>
  <c r="K280" i="4" s="1"/>
  <c r="J279" i="4"/>
  <c r="K279" i="4" s="1"/>
  <c r="J278" i="4"/>
  <c r="K278" i="4" s="1"/>
  <c r="J277" i="4"/>
  <c r="K277" i="4" s="1"/>
  <c r="J276" i="4"/>
  <c r="K276" i="4" s="1"/>
  <c r="J275" i="4"/>
  <c r="K275" i="4" s="1"/>
  <c r="J274" i="4"/>
  <c r="K274" i="4" s="1"/>
  <c r="J273" i="4"/>
  <c r="K273" i="4" s="1"/>
  <c r="J272" i="4"/>
  <c r="K272" i="4" s="1"/>
  <c r="J271" i="4"/>
  <c r="K271" i="4" s="1"/>
  <c r="J270" i="4"/>
  <c r="K270" i="4" s="1"/>
  <c r="J269" i="4"/>
  <c r="K269" i="4" s="1"/>
  <c r="J268" i="4"/>
  <c r="K268" i="4" s="1"/>
  <c r="J267" i="4"/>
  <c r="K267" i="4" s="1"/>
  <c r="J266" i="4"/>
  <c r="K266" i="4" s="1"/>
  <c r="J265" i="4"/>
  <c r="K265" i="4" s="1"/>
  <c r="J264" i="4"/>
  <c r="K264" i="4" s="1"/>
  <c r="J263" i="4"/>
  <c r="K263" i="4" s="1"/>
  <c r="J262" i="4"/>
  <c r="K262" i="4" s="1"/>
  <c r="J261" i="4"/>
  <c r="K261" i="4" s="1"/>
  <c r="J260" i="4"/>
  <c r="K260" i="4" s="1"/>
  <c r="J259" i="4"/>
  <c r="K259" i="4" s="1"/>
  <c r="J258" i="4"/>
  <c r="K258" i="4" s="1"/>
  <c r="J257" i="4"/>
  <c r="K257" i="4" s="1"/>
  <c r="J256" i="4"/>
  <c r="K256" i="4" s="1"/>
  <c r="J255" i="4"/>
  <c r="K255" i="4" s="1"/>
  <c r="J254" i="4"/>
  <c r="K254" i="4" s="1"/>
  <c r="J253" i="4"/>
  <c r="K253" i="4" s="1"/>
  <c r="J252" i="4"/>
  <c r="K252" i="4" s="1"/>
  <c r="J251" i="4"/>
  <c r="K251" i="4" s="1"/>
  <c r="J250" i="4"/>
  <c r="K250" i="4" s="1"/>
  <c r="J249" i="4"/>
  <c r="K249" i="4" s="1"/>
  <c r="J248" i="4"/>
  <c r="K248" i="4" s="1"/>
  <c r="J247" i="4"/>
  <c r="K247" i="4" s="1"/>
  <c r="J246" i="4"/>
  <c r="K246" i="4" s="1"/>
  <c r="J245" i="4"/>
  <c r="K245" i="4" s="1"/>
  <c r="J244" i="4"/>
  <c r="K244" i="4" s="1"/>
  <c r="J243" i="4"/>
  <c r="K243" i="4" s="1"/>
  <c r="J242" i="4"/>
  <c r="K242" i="4" s="1"/>
  <c r="J241" i="4"/>
  <c r="K241" i="4" s="1"/>
  <c r="J240" i="4"/>
  <c r="K240" i="4" s="1"/>
  <c r="J239" i="4"/>
  <c r="K239" i="4" s="1"/>
  <c r="J238" i="4"/>
  <c r="K238" i="4" s="1"/>
  <c r="J237" i="4"/>
  <c r="K237" i="4" s="1"/>
  <c r="J236" i="4"/>
  <c r="K236" i="4" s="1"/>
  <c r="J235" i="4"/>
  <c r="K235" i="4" s="1"/>
  <c r="J234" i="4"/>
  <c r="K234" i="4" s="1"/>
  <c r="J233" i="4"/>
  <c r="K233" i="4" s="1"/>
  <c r="J232" i="4"/>
  <c r="K232" i="4" s="1"/>
  <c r="J231" i="4"/>
  <c r="K231" i="4" s="1"/>
  <c r="J230" i="4"/>
  <c r="K230" i="4" s="1"/>
  <c r="J229" i="4"/>
  <c r="K229" i="4" s="1"/>
  <c r="J228" i="4"/>
  <c r="K228" i="4" s="1"/>
  <c r="J227" i="4"/>
  <c r="K227" i="4" s="1"/>
  <c r="J226" i="4"/>
  <c r="K226" i="4" s="1"/>
  <c r="J225" i="4"/>
  <c r="K225" i="4" s="1"/>
  <c r="J224" i="4"/>
  <c r="K224" i="4" s="1"/>
  <c r="J223" i="4"/>
  <c r="K223" i="4" s="1"/>
  <c r="J222" i="4"/>
  <c r="K222" i="4" s="1"/>
  <c r="J221" i="4"/>
  <c r="K221" i="4" s="1"/>
  <c r="J220" i="4"/>
  <c r="K220" i="4" s="1"/>
  <c r="J219" i="4"/>
  <c r="K219" i="4" s="1"/>
  <c r="J218" i="4"/>
  <c r="K218" i="4" s="1"/>
  <c r="J217" i="4"/>
  <c r="K217" i="4" s="1"/>
  <c r="J216" i="4"/>
  <c r="K216" i="4" s="1"/>
  <c r="J215" i="4"/>
  <c r="K215" i="4" s="1"/>
  <c r="J214" i="4"/>
  <c r="K214" i="4" s="1"/>
  <c r="J213" i="4"/>
  <c r="K213" i="4" s="1"/>
  <c r="J212" i="4"/>
  <c r="K212" i="4" s="1"/>
  <c r="J211" i="4"/>
  <c r="K211" i="4" s="1"/>
  <c r="J210" i="4"/>
  <c r="K210" i="4" s="1"/>
  <c r="J209" i="4"/>
  <c r="K209" i="4" s="1"/>
  <c r="J208" i="4"/>
  <c r="K208" i="4" s="1"/>
  <c r="J207" i="4"/>
  <c r="K207" i="4" s="1"/>
  <c r="J206" i="4"/>
  <c r="K206" i="4" s="1"/>
  <c r="J205" i="4"/>
  <c r="K205" i="4" s="1"/>
  <c r="J204" i="4"/>
  <c r="K204" i="4" s="1"/>
  <c r="J203" i="4"/>
  <c r="K203" i="4" s="1"/>
  <c r="J202" i="4"/>
  <c r="K202" i="4" s="1"/>
  <c r="J201" i="4"/>
  <c r="K201" i="4" s="1"/>
  <c r="J200" i="4"/>
  <c r="K200" i="4" s="1"/>
  <c r="J199" i="4"/>
  <c r="K199" i="4" s="1"/>
  <c r="J198" i="4"/>
  <c r="K198" i="4" s="1"/>
  <c r="J197" i="4"/>
  <c r="K197" i="4" s="1"/>
  <c r="J196" i="4"/>
  <c r="K196" i="4" s="1"/>
  <c r="J195" i="4"/>
  <c r="K195" i="4" s="1"/>
  <c r="J194" i="4"/>
  <c r="K194" i="4" s="1"/>
  <c r="J193" i="4"/>
  <c r="K193" i="4" s="1"/>
  <c r="J192" i="4"/>
  <c r="K192" i="4" s="1"/>
  <c r="J191" i="4"/>
  <c r="K191" i="4" s="1"/>
  <c r="J190" i="4"/>
  <c r="K190" i="4" s="1"/>
  <c r="J189" i="4"/>
  <c r="K189" i="4" s="1"/>
  <c r="J188" i="4"/>
  <c r="K188" i="4" s="1"/>
  <c r="J187" i="4"/>
  <c r="K187" i="4" s="1"/>
  <c r="J186" i="4"/>
  <c r="K186" i="4" s="1"/>
  <c r="J185" i="4"/>
  <c r="K185" i="4" s="1"/>
  <c r="J184" i="4"/>
  <c r="K184" i="4" s="1"/>
  <c r="J183" i="4"/>
  <c r="K183" i="4" s="1"/>
  <c r="J182" i="4"/>
  <c r="K182" i="4" s="1"/>
  <c r="J181" i="4"/>
  <c r="K181" i="4" s="1"/>
  <c r="J180" i="4"/>
  <c r="K180" i="4" s="1"/>
  <c r="J179" i="4"/>
  <c r="K179" i="4" s="1"/>
  <c r="J178" i="4"/>
  <c r="K178" i="4" s="1"/>
  <c r="J177" i="4"/>
  <c r="K177" i="4" s="1"/>
  <c r="J176" i="4"/>
  <c r="K176" i="4" s="1"/>
  <c r="J175" i="4"/>
  <c r="K175" i="4" s="1"/>
  <c r="J174" i="4"/>
  <c r="K174" i="4" s="1"/>
  <c r="J173" i="4"/>
  <c r="K173" i="4" s="1"/>
  <c r="J172" i="4"/>
  <c r="K172" i="4" s="1"/>
  <c r="J171" i="4"/>
  <c r="K171" i="4" s="1"/>
  <c r="J170" i="4"/>
  <c r="K170" i="4" s="1"/>
  <c r="J169" i="4"/>
  <c r="K169" i="4" s="1"/>
  <c r="J168" i="4"/>
  <c r="K168" i="4" s="1"/>
  <c r="J167" i="4"/>
  <c r="K167" i="4" s="1"/>
  <c r="J166" i="4"/>
  <c r="K166" i="4" s="1"/>
  <c r="J165" i="4"/>
  <c r="K165" i="4" s="1"/>
  <c r="J164" i="4"/>
  <c r="K164" i="4" s="1"/>
  <c r="J163" i="4"/>
  <c r="K163" i="4" s="1"/>
  <c r="J162" i="4"/>
  <c r="K162" i="4" s="1"/>
  <c r="J161" i="4"/>
  <c r="K161" i="4" s="1"/>
  <c r="J160" i="4"/>
  <c r="K160" i="4" s="1"/>
  <c r="J159" i="4"/>
  <c r="K159" i="4" s="1"/>
  <c r="J158" i="4"/>
  <c r="K158" i="4" s="1"/>
  <c r="J157" i="4"/>
  <c r="K157" i="4" s="1"/>
  <c r="J156" i="4"/>
  <c r="K156" i="4" s="1"/>
  <c r="J155" i="4"/>
  <c r="K155" i="4" s="1"/>
  <c r="J154" i="4"/>
  <c r="K154" i="4" s="1"/>
  <c r="J153" i="4"/>
  <c r="K153" i="4" s="1"/>
  <c r="J152" i="4"/>
  <c r="K152" i="4" s="1"/>
  <c r="J151" i="4"/>
  <c r="K151" i="4" s="1"/>
  <c r="J150" i="4"/>
  <c r="K150" i="4" s="1"/>
  <c r="J149" i="4"/>
  <c r="K149" i="4" s="1"/>
  <c r="J148" i="4"/>
  <c r="K148" i="4" s="1"/>
  <c r="J147" i="4"/>
  <c r="K147" i="4" s="1"/>
  <c r="J146" i="4"/>
  <c r="K146" i="4" s="1"/>
  <c r="J145" i="4"/>
  <c r="K145" i="4" s="1"/>
  <c r="J144" i="4"/>
  <c r="K144" i="4" s="1"/>
  <c r="J143" i="4"/>
  <c r="K143" i="4" s="1"/>
  <c r="J142" i="4"/>
  <c r="K142" i="4" s="1"/>
  <c r="J141" i="4"/>
  <c r="K141" i="4" s="1"/>
  <c r="J140" i="4"/>
  <c r="K140" i="4" s="1"/>
  <c r="J139" i="4"/>
  <c r="K139" i="4" s="1"/>
  <c r="J138" i="4"/>
  <c r="K138" i="4" s="1"/>
  <c r="J137" i="4"/>
  <c r="K137" i="4" s="1"/>
  <c r="J136" i="4"/>
  <c r="K136" i="4" s="1"/>
  <c r="J135" i="4"/>
  <c r="K135" i="4" s="1"/>
  <c r="J134" i="4"/>
  <c r="K134" i="4" s="1"/>
  <c r="J133" i="4"/>
  <c r="K133" i="4" s="1"/>
  <c r="J132" i="4"/>
  <c r="K132" i="4" s="1"/>
  <c r="J131" i="4"/>
  <c r="K131" i="4" s="1"/>
  <c r="J130" i="4"/>
  <c r="K130" i="4" s="1"/>
  <c r="J129" i="4"/>
  <c r="K129" i="4" s="1"/>
  <c r="J128" i="4"/>
  <c r="K128" i="4" s="1"/>
  <c r="J127" i="4"/>
  <c r="K127" i="4" s="1"/>
  <c r="J126" i="4"/>
  <c r="K126" i="4" s="1"/>
  <c r="J125" i="4"/>
  <c r="K125" i="4" s="1"/>
  <c r="J124" i="4"/>
  <c r="K124" i="4" s="1"/>
  <c r="J123" i="4"/>
  <c r="K123" i="4" s="1"/>
  <c r="J122" i="4"/>
  <c r="K122" i="4" s="1"/>
  <c r="J121" i="4"/>
  <c r="K121" i="4" s="1"/>
  <c r="J120" i="4"/>
  <c r="K120" i="4" s="1"/>
  <c r="J119" i="4"/>
  <c r="K119" i="4" s="1"/>
  <c r="J118" i="4"/>
  <c r="K118" i="4" s="1"/>
  <c r="J117" i="4"/>
  <c r="K117" i="4" s="1"/>
  <c r="J116" i="4"/>
  <c r="K116" i="4" s="1"/>
  <c r="J115" i="4"/>
  <c r="K115" i="4" s="1"/>
  <c r="J114" i="4"/>
  <c r="K114" i="4" s="1"/>
  <c r="J113" i="4"/>
  <c r="K113" i="4" s="1"/>
  <c r="J112" i="4"/>
  <c r="K112" i="4" s="1"/>
  <c r="J111" i="4"/>
  <c r="K111" i="4" s="1"/>
  <c r="J110" i="4"/>
  <c r="K110" i="4" s="1"/>
  <c r="J109" i="4"/>
  <c r="K109" i="4" s="1"/>
  <c r="J108" i="4"/>
  <c r="K108" i="4" s="1"/>
  <c r="J107" i="4"/>
  <c r="K107" i="4" s="1"/>
  <c r="J106" i="4"/>
  <c r="K106" i="4" s="1"/>
  <c r="J105" i="4"/>
  <c r="K105" i="4" s="1"/>
  <c r="J104" i="4"/>
  <c r="K104" i="4" s="1"/>
  <c r="J103" i="4"/>
  <c r="K103" i="4" s="1"/>
  <c r="J102" i="4"/>
  <c r="K102" i="4" s="1"/>
  <c r="J101" i="4"/>
  <c r="K101" i="4" s="1"/>
  <c r="J100" i="4"/>
  <c r="K100" i="4" s="1"/>
  <c r="J99" i="4"/>
  <c r="K99" i="4" s="1"/>
  <c r="J98" i="4"/>
  <c r="K98" i="4" s="1"/>
  <c r="J97" i="4"/>
  <c r="K97" i="4" s="1"/>
  <c r="J96" i="4"/>
  <c r="K96" i="4" s="1"/>
  <c r="J95" i="4"/>
  <c r="K95" i="4" s="1"/>
  <c r="J94" i="4"/>
  <c r="K94" i="4" s="1"/>
  <c r="J93" i="4"/>
  <c r="K93" i="4" s="1"/>
  <c r="J92" i="4"/>
  <c r="K92" i="4" s="1"/>
  <c r="J91" i="4"/>
  <c r="K91" i="4" s="1"/>
  <c r="J90" i="4"/>
  <c r="K90" i="4" s="1"/>
  <c r="J89" i="4"/>
  <c r="K89" i="4" s="1"/>
  <c r="J88" i="4"/>
  <c r="K88" i="4" s="1"/>
  <c r="J87" i="4"/>
  <c r="K87" i="4" s="1"/>
  <c r="J86" i="4"/>
  <c r="K86" i="4" s="1"/>
  <c r="J85" i="4"/>
  <c r="K85" i="4" s="1"/>
  <c r="J84" i="4"/>
  <c r="K84" i="4" s="1"/>
  <c r="J83" i="4"/>
  <c r="K83" i="4" s="1"/>
  <c r="J82" i="4"/>
  <c r="K82" i="4" s="1"/>
  <c r="J81" i="4"/>
  <c r="K81" i="4" s="1"/>
  <c r="J80" i="4"/>
  <c r="K80" i="4" s="1"/>
  <c r="J79" i="4"/>
  <c r="K79" i="4" s="1"/>
  <c r="J78" i="4"/>
  <c r="K78" i="4" s="1"/>
  <c r="J77" i="4"/>
  <c r="K77" i="4" s="1"/>
  <c r="J76" i="4"/>
  <c r="K76" i="4" s="1"/>
  <c r="J75" i="4"/>
  <c r="K75" i="4" s="1"/>
  <c r="J74" i="4"/>
  <c r="K74" i="4" s="1"/>
  <c r="J73" i="4"/>
  <c r="K73" i="4" s="1"/>
  <c r="J72" i="4"/>
  <c r="K72" i="4" s="1"/>
  <c r="J71" i="4"/>
  <c r="K71" i="4" s="1"/>
  <c r="J70" i="4"/>
  <c r="K70" i="4" s="1"/>
  <c r="J69" i="4"/>
  <c r="K69" i="4" s="1"/>
  <c r="J68" i="4"/>
  <c r="K68" i="4" s="1"/>
  <c r="J67" i="4"/>
  <c r="K67" i="4" s="1"/>
  <c r="J66" i="4"/>
  <c r="K66" i="4" s="1"/>
  <c r="J65" i="4"/>
  <c r="K65" i="4" s="1"/>
  <c r="J64" i="4"/>
  <c r="K64" i="4" s="1"/>
  <c r="J63" i="4"/>
  <c r="K63" i="4" s="1"/>
  <c r="J62" i="4"/>
  <c r="K62" i="4" s="1"/>
  <c r="J61" i="4"/>
  <c r="K61" i="4" s="1"/>
  <c r="J60" i="4"/>
  <c r="K60" i="4" s="1"/>
  <c r="J59" i="4"/>
  <c r="K59" i="4" s="1"/>
  <c r="J58" i="4"/>
  <c r="K58" i="4" s="1"/>
  <c r="J57" i="4"/>
  <c r="K57" i="4" s="1"/>
  <c r="J56" i="4"/>
  <c r="K56" i="4" s="1"/>
  <c r="J55" i="4"/>
  <c r="K55" i="4" s="1"/>
  <c r="J54" i="4"/>
  <c r="K54" i="4" s="1"/>
  <c r="J53" i="4"/>
  <c r="K53" i="4" s="1"/>
  <c r="J52" i="4"/>
  <c r="K52" i="4" s="1"/>
  <c r="J51" i="4"/>
  <c r="K51" i="4" s="1"/>
  <c r="J50" i="4"/>
  <c r="K50" i="4" s="1"/>
  <c r="J49" i="4"/>
  <c r="K49" i="4" s="1"/>
  <c r="J48" i="4"/>
  <c r="K48" i="4" s="1"/>
  <c r="J47" i="4"/>
  <c r="K47" i="4" s="1"/>
  <c r="J46" i="4"/>
  <c r="K46" i="4" s="1"/>
  <c r="J45" i="4"/>
  <c r="K45" i="4" s="1"/>
  <c r="J44" i="4"/>
  <c r="K44" i="4" s="1"/>
  <c r="J43" i="4"/>
  <c r="K43" i="4" s="1"/>
  <c r="J42" i="4"/>
  <c r="K42" i="4" s="1"/>
  <c r="J41" i="4"/>
  <c r="K41" i="4" s="1"/>
  <c r="J40" i="4"/>
  <c r="K40" i="4" s="1"/>
  <c r="J39" i="4"/>
  <c r="K39" i="4" s="1"/>
  <c r="J38" i="4"/>
  <c r="K38" i="4" s="1"/>
  <c r="J37" i="4"/>
  <c r="K37" i="4" s="1"/>
  <c r="J36" i="4"/>
  <c r="K36" i="4" s="1"/>
  <c r="J35" i="4"/>
  <c r="K35" i="4" s="1"/>
  <c r="J34" i="4"/>
  <c r="K34" i="4" s="1"/>
  <c r="J33" i="4"/>
  <c r="K33" i="4" s="1"/>
  <c r="J32" i="4"/>
  <c r="K32" i="4" s="1"/>
  <c r="J31" i="4"/>
  <c r="K31" i="4" s="1"/>
  <c r="J30" i="4"/>
  <c r="K30" i="4" s="1"/>
  <c r="J29" i="4"/>
  <c r="K29" i="4" s="1"/>
  <c r="J28" i="4"/>
  <c r="K28" i="4" s="1"/>
  <c r="J27" i="4"/>
  <c r="K27" i="4" s="1"/>
  <c r="J26" i="4"/>
  <c r="K26" i="4" s="1"/>
  <c r="J25" i="4"/>
  <c r="K25" i="4" s="1"/>
  <c r="J24" i="4"/>
  <c r="K24" i="4" s="1"/>
  <c r="J23" i="4"/>
  <c r="K23" i="4" s="1"/>
  <c r="J22" i="4"/>
  <c r="K22" i="4" s="1"/>
  <c r="J21" i="4"/>
  <c r="K21" i="4" s="1"/>
  <c r="J20" i="4"/>
  <c r="K20" i="4" s="1"/>
  <c r="J19" i="4"/>
  <c r="K19" i="4" s="1"/>
  <c r="J18" i="4"/>
  <c r="K18" i="4" s="1"/>
  <c r="J17" i="4"/>
  <c r="K17" i="4" s="1"/>
  <c r="J13" i="4"/>
  <c r="K13" i="4" s="1"/>
  <c r="J12" i="4"/>
  <c r="K12" i="4" s="1"/>
  <c r="J11" i="4"/>
  <c r="H320" i="4"/>
  <c r="H319" i="4"/>
  <c r="I319" i="4" s="1"/>
  <c r="H318" i="4"/>
  <c r="I318" i="4" s="1"/>
  <c r="H317" i="4"/>
  <c r="I317" i="4" s="1"/>
  <c r="H316" i="4"/>
  <c r="I316" i="4" s="1"/>
  <c r="H315" i="4"/>
  <c r="I315" i="4" s="1"/>
  <c r="H306" i="4"/>
  <c r="I306" i="4" s="1"/>
  <c r="H305" i="4"/>
  <c r="I305" i="4" s="1"/>
  <c r="H304" i="4"/>
  <c r="I304" i="4" s="1"/>
  <c r="H303" i="4"/>
  <c r="I303" i="4" s="1"/>
  <c r="H302" i="4"/>
  <c r="I302" i="4" s="1"/>
  <c r="H301" i="4"/>
  <c r="I301" i="4" s="1"/>
  <c r="H300" i="4"/>
  <c r="I300" i="4" s="1"/>
  <c r="H299" i="4"/>
  <c r="I299" i="4" s="1"/>
  <c r="H298" i="4"/>
  <c r="I298" i="4" s="1"/>
  <c r="H297" i="4"/>
  <c r="I297" i="4" s="1"/>
  <c r="H296" i="4"/>
  <c r="I296" i="4" s="1"/>
  <c r="H295" i="4"/>
  <c r="I295" i="4" s="1"/>
  <c r="H294" i="4"/>
  <c r="I294" i="4" s="1"/>
  <c r="H293" i="4"/>
  <c r="I293" i="4" s="1"/>
  <c r="H292" i="4"/>
  <c r="I292" i="4" s="1"/>
  <c r="H291" i="4"/>
  <c r="I291" i="4" s="1"/>
  <c r="H290" i="4"/>
  <c r="I290" i="4" s="1"/>
  <c r="H289" i="4"/>
  <c r="I289" i="4" s="1"/>
  <c r="H288" i="4"/>
  <c r="I288" i="4" s="1"/>
  <c r="H287" i="4"/>
  <c r="I287" i="4" s="1"/>
  <c r="H286" i="4"/>
  <c r="I286" i="4" s="1"/>
  <c r="H285" i="4"/>
  <c r="I285" i="4" s="1"/>
  <c r="H284" i="4"/>
  <c r="I284" i="4" s="1"/>
  <c r="H283" i="4"/>
  <c r="I283" i="4" s="1"/>
  <c r="H282" i="4"/>
  <c r="I282" i="4" s="1"/>
  <c r="H281" i="4"/>
  <c r="I281" i="4" s="1"/>
  <c r="H280" i="4"/>
  <c r="I280" i="4" s="1"/>
  <c r="H279" i="4"/>
  <c r="I279" i="4" s="1"/>
  <c r="H278" i="4"/>
  <c r="I278" i="4" s="1"/>
  <c r="H277" i="4"/>
  <c r="I277" i="4" s="1"/>
  <c r="H276" i="4"/>
  <c r="I276" i="4" s="1"/>
  <c r="H275" i="4"/>
  <c r="I275" i="4" s="1"/>
  <c r="H274" i="4"/>
  <c r="I274" i="4" s="1"/>
  <c r="H273" i="4"/>
  <c r="I273" i="4" s="1"/>
  <c r="H272" i="4"/>
  <c r="I272" i="4" s="1"/>
  <c r="H271" i="4"/>
  <c r="I271" i="4" s="1"/>
  <c r="H270" i="4"/>
  <c r="I270" i="4" s="1"/>
  <c r="H269" i="4"/>
  <c r="I269" i="4" s="1"/>
  <c r="H268" i="4"/>
  <c r="I268" i="4" s="1"/>
  <c r="H267" i="4"/>
  <c r="I267" i="4" s="1"/>
  <c r="H266" i="4"/>
  <c r="I266" i="4" s="1"/>
  <c r="H265" i="4"/>
  <c r="I265" i="4" s="1"/>
  <c r="H264" i="4"/>
  <c r="I264" i="4" s="1"/>
  <c r="H263" i="4"/>
  <c r="I263" i="4" s="1"/>
  <c r="H262" i="4"/>
  <c r="I262" i="4" s="1"/>
  <c r="H261" i="4"/>
  <c r="I261" i="4" s="1"/>
  <c r="H260" i="4"/>
  <c r="I260" i="4" s="1"/>
  <c r="H259" i="4"/>
  <c r="I259" i="4" s="1"/>
  <c r="H258" i="4"/>
  <c r="I258" i="4" s="1"/>
  <c r="H257" i="4"/>
  <c r="I257" i="4" s="1"/>
  <c r="H256" i="4"/>
  <c r="I256" i="4" s="1"/>
  <c r="H255" i="4"/>
  <c r="I255" i="4" s="1"/>
  <c r="H254" i="4"/>
  <c r="I254" i="4" s="1"/>
  <c r="H253" i="4"/>
  <c r="I253" i="4" s="1"/>
  <c r="H252" i="4"/>
  <c r="I252" i="4" s="1"/>
  <c r="H251" i="4"/>
  <c r="I251" i="4" s="1"/>
  <c r="H250" i="4"/>
  <c r="I250" i="4" s="1"/>
  <c r="H249" i="4"/>
  <c r="I249" i="4" s="1"/>
  <c r="H248" i="4"/>
  <c r="I248" i="4" s="1"/>
  <c r="H247" i="4"/>
  <c r="I247" i="4" s="1"/>
  <c r="H246" i="4"/>
  <c r="I246" i="4" s="1"/>
  <c r="H245" i="4"/>
  <c r="I245" i="4" s="1"/>
  <c r="H244" i="4"/>
  <c r="I244" i="4" s="1"/>
  <c r="H243" i="4"/>
  <c r="I243" i="4" s="1"/>
  <c r="H242" i="4"/>
  <c r="I242" i="4" s="1"/>
  <c r="H241" i="4"/>
  <c r="I241" i="4" s="1"/>
  <c r="H240" i="4"/>
  <c r="I240" i="4" s="1"/>
  <c r="H239" i="4"/>
  <c r="I239" i="4" s="1"/>
  <c r="H238" i="4"/>
  <c r="I238" i="4" s="1"/>
  <c r="H237" i="4"/>
  <c r="I237" i="4" s="1"/>
  <c r="H236" i="4"/>
  <c r="I236" i="4" s="1"/>
  <c r="H235" i="4"/>
  <c r="I235" i="4" s="1"/>
  <c r="H234" i="4"/>
  <c r="I234" i="4" s="1"/>
  <c r="H233" i="4"/>
  <c r="I233" i="4" s="1"/>
  <c r="H232" i="4"/>
  <c r="I232" i="4" s="1"/>
  <c r="H231" i="4"/>
  <c r="I231" i="4" s="1"/>
  <c r="H230" i="4"/>
  <c r="I230" i="4" s="1"/>
  <c r="H229" i="4"/>
  <c r="I229" i="4" s="1"/>
  <c r="H228" i="4"/>
  <c r="I228" i="4" s="1"/>
  <c r="H227" i="4"/>
  <c r="I227" i="4" s="1"/>
  <c r="H226" i="4"/>
  <c r="I226" i="4" s="1"/>
  <c r="H225" i="4"/>
  <c r="I225" i="4" s="1"/>
  <c r="H224" i="4"/>
  <c r="I224" i="4" s="1"/>
  <c r="H223" i="4"/>
  <c r="I223" i="4" s="1"/>
  <c r="H222" i="4"/>
  <c r="I222" i="4" s="1"/>
  <c r="H221" i="4"/>
  <c r="I221" i="4" s="1"/>
  <c r="H220" i="4"/>
  <c r="I220" i="4" s="1"/>
  <c r="H219" i="4"/>
  <c r="I219" i="4" s="1"/>
  <c r="H218" i="4"/>
  <c r="I218" i="4" s="1"/>
  <c r="H217" i="4"/>
  <c r="I217" i="4" s="1"/>
  <c r="H216" i="4"/>
  <c r="I216" i="4" s="1"/>
  <c r="H215" i="4"/>
  <c r="I215" i="4" s="1"/>
  <c r="H214" i="4"/>
  <c r="I214" i="4" s="1"/>
  <c r="H213" i="4"/>
  <c r="I213" i="4" s="1"/>
  <c r="H212" i="4"/>
  <c r="I212" i="4" s="1"/>
  <c r="H211" i="4"/>
  <c r="I211" i="4" s="1"/>
  <c r="H210" i="4"/>
  <c r="I210" i="4" s="1"/>
  <c r="H209" i="4"/>
  <c r="I209" i="4" s="1"/>
  <c r="H208" i="4"/>
  <c r="I208" i="4" s="1"/>
  <c r="H207" i="4"/>
  <c r="I207" i="4" s="1"/>
  <c r="H206" i="4"/>
  <c r="I206" i="4" s="1"/>
  <c r="H205" i="4"/>
  <c r="I205" i="4" s="1"/>
  <c r="H204" i="4"/>
  <c r="I204" i="4" s="1"/>
  <c r="H203" i="4"/>
  <c r="I203" i="4" s="1"/>
  <c r="H202" i="4"/>
  <c r="I202" i="4" s="1"/>
  <c r="H201" i="4"/>
  <c r="I201" i="4" s="1"/>
  <c r="H200" i="4"/>
  <c r="I200" i="4" s="1"/>
  <c r="H199" i="4"/>
  <c r="I199" i="4" s="1"/>
  <c r="H198" i="4"/>
  <c r="I198" i="4" s="1"/>
  <c r="H197" i="4"/>
  <c r="I197" i="4" s="1"/>
  <c r="H196" i="4"/>
  <c r="I196" i="4" s="1"/>
  <c r="H195" i="4"/>
  <c r="I195" i="4" s="1"/>
  <c r="H194" i="4"/>
  <c r="I194" i="4" s="1"/>
  <c r="H193" i="4"/>
  <c r="I193" i="4" s="1"/>
  <c r="H192" i="4"/>
  <c r="I192" i="4" s="1"/>
  <c r="H191" i="4"/>
  <c r="I191" i="4" s="1"/>
  <c r="H190" i="4"/>
  <c r="I190" i="4" s="1"/>
  <c r="H189" i="4"/>
  <c r="I189" i="4" s="1"/>
  <c r="H188" i="4"/>
  <c r="I188" i="4" s="1"/>
  <c r="H187" i="4"/>
  <c r="I187" i="4" s="1"/>
  <c r="H186" i="4"/>
  <c r="I186" i="4" s="1"/>
  <c r="H185" i="4"/>
  <c r="I185" i="4" s="1"/>
  <c r="H184" i="4"/>
  <c r="I184" i="4" s="1"/>
  <c r="H183" i="4"/>
  <c r="I183" i="4" s="1"/>
  <c r="H182" i="4"/>
  <c r="I182" i="4" s="1"/>
  <c r="H181" i="4"/>
  <c r="I181" i="4" s="1"/>
  <c r="H180" i="4"/>
  <c r="I180" i="4" s="1"/>
  <c r="H179" i="4"/>
  <c r="I179" i="4" s="1"/>
  <c r="H178" i="4"/>
  <c r="I178" i="4" s="1"/>
  <c r="H177" i="4"/>
  <c r="I177" i="4" s="1"/>
  <c r="H176" i="4"/>
  <c r="I176" i="4" s="1"/>
  <c r="H175" i="4"/>
  <c r="I175" i="4" s="1"/>
  <c r="H174" i="4"/>
  <c r="I174" i="4" s="1"/>
  <c r="H173" i="4"/>
  <c r="I173" i="4" s="1"/>
  <c r="H172" i="4"/>
  <c r="I172" i="4" s="1"/>
  <c r="H171" i="4"/>
  <c r="I171" i="4" s="1"/>
  <c r="H170" i="4"/>
  <c r="I170" i="4" s="1"/>
  <c r="H169" i="4"/>
  <c r="I169" i="4" s="1"/>
  <c r="H168" i="4"/>
  <c r="I168" i="4" s="1"/>
  <c r="H167" i="4"/>
  <c r="I167" i="4" s="1"/>
  <c r="H166" i="4"/>
  <c r="I166" i="4" s="1"/>
  <c r="H165" i="4"/>
  <c r="I165" i="4" s="1"/>
  <c r="H164" i="4"/>
  <c r="I164" i="4" s="1"/>
  <c r="H163" i="4"/>
  <c r="I163" i="4" s="1"/>
  <c r="H162" i="4"/>
  <c r="I162" i="4" s="1"/>
  <c r="H161" i="4"/>
  <c r="I161" i="4" s="1"/>
  <c r="H160" i="4"/>
  <c r="I160" i="4" s="1"/>
  <c r="H159" i="4"/>
  <c r="I159" i="4" s="1"/>
  <c r="H158" i="4"/>
  <c r="I158" i="4" s="1"/>
  <c r="H157" i="4"/>
  <c r="I157" i="4" s="1"/>
  <c r="H156" i="4"/>
  <c r="I156" i="4" s="1"/>
  <c r="H155" i="4"/>
  <c r="I155" i="4" s="1"/>
  <c r="H154" i="4"/>
  <c r="I154" i="4" s="1"/>
  <c r="H153" i="4"/>
  <c r="I153" i="4" s="1"/>
  <c r="H152" i="4"/>
  <c r="I152" i="4" s="1"/>
  <c r="H151" i="4"/>
  <c r="I151" i="4" s="1"/>
  <c r="H150" i="4"/>
  <c r="I150" i="4" s="1"/>
  <c r="H149" i="4"/>
  <c r="I149" i="4" s="1"/>
  <c r="H148" i="4"/>
  <c r="I148" i="4" s="1"/>
  <c r="H147" i="4"/>
  <c r="I147" i="4" s="1"/>
  <c r="H146" i="4"/>
  <c r="I146" i="4" s="1"/>
  <c r="H145" i="4"/>
  <c r="I145" i="4" s="1"/>
  <c r="H144" i="4"/>
  <c r="I144" i="4" s="1"/>
  <c r="H143" i="4"/>
  <c r="I143" i="4" s="1"/>
  <c r="H142" i="4"/>
  <c r="I142" i="4" s="1"/>
  <c r="H141" i="4"/>
  <c r="I141" i="4" s="1"/>
  <c r="H140" i="4"/>
  <c r="I140" i="4" s="1"/>
  <c r="H139" i="4"/>
  <c r="I139" i="4" s="1"/>
  <c r="H138" i="4"/>
  <c r="I138" i="4" s="1"/>
  <c r="H137" i="4"/>
  <c r="I137" i="4" s="1"/>
  <c r="H136" i="4"/>
  <c r="I136" i="4" s="1"/>
  <c r="H135" i="4"/>
  <c r="I135" i="4" s="1"/>
  <c r="H134" i="4"/>
  <c r="I134" i="4" s="1"/>
  <c r="H133" i="4"/>
  <c r="I133" i="4" s="1"/>
  <c r="H132" i="4"/>
  <c r="I132" i="4" s="1"/>
  <c r="H131" i="4"/>
  <c r="I131" i="4" s="1"/>
  <c r="H130" i="4"/>
  <c r="I130" i="4" s="1"/>
  <c r="H129" i="4"/>
  <c r="I129" i="4" s="1"/>
  <c r="H128" i="4"/>
  <c r="I128" i="4" s="1"/>
  <c r="H127" i="4"/>
  <c r="I127" i="4" s="1"/>
  <c r="H126" i="4"/>
  <c r="I126" i="4" s="1"/>
  <c r="H125" i="4"/>
  <c r="I125" i="4" s="1"/>
  <c r="H124" i="4"/>
  <c r="I124" i="4" s="1"/>
  <c r="H123" i="4"/>
  <c r="I123" i="4" s="1"/>
  <c r="H122" i="4"/>
  <c r="I122" i="4" s="1"/>
  <c r="H121" i="4"/>
  <c r="I121" i="4" s="1"/>
  <c r="H120" i="4"/>
  <c r="I120" i="4" s="1"/>
  <c r="H119" i="4"/>
  <c r="I119" i="4" s="1"/>
  <c r="H118" i="4"/>
  <c r="I118" i="4" s="1"/>
  <c r="H117" i="4"/>
  <c r="I117" i="4" s="1"/>
  <c r="H116" i="4"/>
  <c r="I116" i="4" s="1"/>
  <c r="H115" i="4"/>
  <c r="I115" i="4" s="1"/>
  <c r="H114" i="4"/>
  <c r="I114" i="4" s="1"/>
  <c r="H113" i="4"/>
  <c r="I113" i="4" s="1"/>
  <c r="H112" i="4"/>
  <c r="I112" i="4" s="1"/>
  <c r="H111" i="4"/>
  <c r="I111" i="4" s="1"/>
  <c r="H110" i="4"/>
  <c r="I110" i="4" s="1"/>
  <c r="H109" i="4"/>
  <c r="I109" i="4" s="1"/>
  <c r="H108" i="4"/>
  <c r="I108" i="4" s="1"/>
  <c r="H107" i="4"/>
  <c r="I107" i="4" s="1"/>
  <c r="H106" i="4"/>
  <c r="I106" i="4" s="1"/>
  <c r="H105" i="4"/>
  <c r="I105" i="4" s="1"/>
  <c r="H104" i="4"/>
  <c r="I104" i="4" s="1"/>
  <c r="H103" i="4"/>
  <c r="I103" i="4" s="1"/>
  <c r="H102" i="4"/>
  <c r="I102" i="4" s="1"/>
  <c r="H101" i="4"/>
  <c r="I101" i="4" s="1"/>
  <c r="H100" i="4"/>
  <c r="I100" i="4" s="1"/>
  <c r="H99" i="4"/>
  <c r="I99" i="4" s="1"/>
  <c r="H98" i="4"/>
  <c r="I98" i="4" s="1"/>
  <c r="H97" i="4"/>
  <c r="I97" i="4" s="1"/>
  <c r="H96" i="4"/>
  <c r="I96" i="4" s="1"/>
  <c r="H95" i="4"/>
  <c r="I95" i="4" s="1"/>
  <c r="H94" i="4"/>
  <c r="I94" i="4" s="1"/>
  <c r="H93" i="4"/>
  <c r="I93" i="4" s="1"/>
  <c r="H92" i="4"/>
  <c r="I92" i="4" s="1"/>
  <c r="H91" i="4"/>
  <c r="I91" i="4" s="1"/>
  <c r="H90" i="4"/>
  <c r="I90" i="4" s="1"/>
  <c r="H89" i="4"/>
  <c r="I89" i="4" s="1"/>
  <c r="H88" i="4"/>
  <c r="I88" i="4" s="1"/>
  <c r="H87" i="4"/>
  <c r="I87" i="4" s="1"/>
  <c r="H86" i="4"/>
  <c r="I86" i="4" s="1"/>
  <c r="H85" i="4"/>
  <c r="I85" i="4" s="1"/>
  <c r="H84" i="4"/>
  <c r="I84" i="4" s="1"/>
  <c r="H83" i="4"/>
  <c r="I83" i="4" s="1"/>
  <c r="H82" i="4"/>
  <c r="I82" i="4" s="1"/>
  <c r="H81" i="4"/>
  <c r="I81" i="4" s="1"/>
  <c r="H80" i="4"/>
  <c r="I80" i="4" s="1"/>
  <c r="H79" i="4"/>
  <c r="I79" i="4" s="1"/>
  <c r="H78" i="4"/>
  <c r="I78" i="4" s="1"/>
  <c r="H77" i="4"/>
  <c r="I77" i="4" s="1"/>
  <c r="H76" i="4"/>
  <c r="I76" i="4" s="1"/>
  <c r="H75" i="4"/>
  <c r="I75" i="4" s="1"/>
  <c r="H74" i="4"/>
  <c r="I74" i="4" s="1"/>
  <c r="H73" i="4"/>
  <c r="I73" i="4" s="1"/>
  <c r="H72" i="4"/>
  <c r="I72" i="4" s="1"/>
  <c r="H71" i="4"/>
  <c r="I71" i="4" s="1"/>
  <c r="H70" i="4"/>
  <c r="I70" i="4" s="1"/>
  <c r="H69" i="4"/>
  <c r="I69" i="4" s="1"/>
  <c r="H68" i="4"/>
  <c r="I68" i="4" s="1"/>
  <c r="H67" i="4"/>
  <c r="I67" i="4" s="1"/>
  <c r="H66" i="4"/>
  <c r="I66" i="4" s="1"/>
  <c r="H65" i="4"/>
  <c r="I65" i="4" s="1"/>
  <c r="H64" i="4"/>
  <c r="I64" i="4" s="1"/>
  <c r="H63" i="4"/>
  <c r="I63" i="4" s="1"/>
  <c r="H62" i="4"/>
  <c r="I62" i="4" s="1"/>
  <c r="H61" i="4"/>
  <c r="I61" i="4" s="1"/>
  <c r="H60" i="4"/>
  <c r="I60" i="4" s="1"/>
  <c r="H59" i="4"/>
  <c r="I59" i="4" s="1"/>
  <c r="H58" i="4"/>
  <c r="I58" i="4" s="1"/>
  <c r="H57" i="4"/>
  <c r="I57" i="4" s="1"/>
  <c r="H56" i="4"/>
  <c r="I56" i="4" s="1"/>
  <c r="H55" i="4"/>
  <c r="I55" i="4" s="1"/>
  <c r="H54" i="4"/>
  <c r="I54" i="4" s="1"/>
  <c r="H53" i="4"/>
  <c r="I53" i="4" s="1"/>
  <c r="H52" i="4"/>
  <c r="I52" i="4" s="1"/>
  <c r="H51" i="4"/>
  <c r="I51" i="4" s="1"/>
  <c r="H50" i="4"/>
  <c r="I50" i="4" s="1"/>
  <c r="H49" i="4"/>
  <c r="I49" i="4" s="1"/>
  <c r="H48" i="4"/>
  <c r="I48" i="4" s="1"/>
  <c r="H47" i="4"/>
  <c r="I47" i="4" s="1"/>
  <c r="H46" i="4"/>
  <c r="I46" i="4" s="1"/>
  <c r="H45" i="4"/>
  <c r="I45" i="4" s="1"/>
  <c r="H44" i="4"/>
  <c r="I44" i="4" s="1"/>
  <c r="H43" i="4"/>
  <c r="I43" i="4" s="1"/>
  <c r="H42" i="4"/>
  <c r="I42" i="4" s="1"/>
  <c r="H41" i="4"/>
  <c r="I41" i="4" s="1"/>
  <c r="H40" i="4"/>
  <c r="I40" i="4" s="1"/>
  <c r="H39" i="4"/>
  <c r="I39" i="4" s="1"/>
  <c r="H38" i="4"/>
  <c r="I38" i="4" s="1"/>
  <c r="H37" i="4"/>
  <c r="I37" i="4" s="1"/>
  <c r="H36" i="4"/>
  <c r="I36" i="4" s="1"/>
  <c r="H35" i="4"/>
  <c r="I35" i="4" s="1"/>
  <c r="H34" i="4"/>
  <c r="I34" i="4" s="1"/>
  <c r="H33" i="4"/>
  <c r="I33" i="4" s="1"/>
  <c r="H32" i="4"/>
  <c r="I32" i="4" s="1"/>
  <c r="H31" i="4"/>
  <c r="I31" i="4" s="1"/>
  <c r="H30" i="4"/>
  <c r="I30" i="4" s="1"/>
  <c r="H29" i="4"/>
  <c r="I29" i="4" s="1"/>
  <c r="H28" i="4"/>
  <c r="I28" i="4" s="1"/>
  <c r="H27" i="4"/>
  <c r="I27" i="4" s="1"/>
  <c r="H26" i="4"/>
  <c r="I26" i="4" s="1"/>
  <c r="H25" i="4"/>
  <c r="I25" i="4" s="1"/>
  <c r="H24" i="4"/>
  <c r="I24" i="4" s="1"/>
  <c r="H23" i="4"/>
  <c r="I23" i="4" s="1"/>
  <c r="H22" i="4"/>
  <c r="I22" i="4" s="1"/>
  <c r="H21" i="4"/>
  <c r="I21" i="4" s="1"/>
  <c r="H20" i="4"/>
  <c r="I20" i="4" s="1"/>
  <c r="H19" i="4"/>
  <c r="I19" i="4" s="1"/>
  <c r="H18" i="4"/>
  <c r="I18" i="4" s="1"/>
  <c r="H17" i="4"/>
  <c r="I17" i="4" s="1"/>
  <c r="H13" i="4"/>
  <c r="I13" i="4" s="1"/>
  <c r="H12" i="4"/>
  <c r="I12" i="4" s="1"/>
  <c r="H11" i="4"/>
  <c r="N2" i="4" l="1"/>
  <c r="N5" i="4" s="1"/>
  <c r="P2" i="4"/>
  <c r="P5" i="4" s="1"/>
  <c r="M320" i="4"/>
  <c r="L2" i="4"/>
  <c r="L5" i="4" s="1"/>
  <c r="K320" i="4"/>
  <c r="J2" i="4"/>
  <c r="J5" i="4" s="1"/>
  <c r="I320" i="4"/>
  <c r="H2" i="4"/>
  <c r="H5" i="4" s="1"/>
  <c r="N3" i="4"/>
  <c r="P3" i="4"/>
  <c r="M11" i="4"/>
  <c r="K11" i="4"/>
  <c r="G11" i="4"/>
  <c r="I11" i="4"/>
  <c r="J2" i="2"/>
  <c r="J5" i="2" s="1"/>
  <c r="K2" i="2"/>
  <c r="K5" i="2" s="1"/>
  <c r="G2" i="2"/>
  <c r="I2" i="2"/>
  <c r="I5" i="2" s="1"/>
  <c r="H2" i="2"/>
  <c r="H5" i="2" s="1"/>
  <c r="K3" i="2"/>
  <c r="G3" i="2"/>
  <c r="J3" i="2"/>
  <c r="I3" i="2"/>
  <c r="H3" i="2"/>
  <c r="P6" i="4" l="1"/>
  <c r="P7" i="4" s="1"/>
  <c r="N322" i="4"/>
  <c r="N6" i="4"/>
  <c r="N7" i="4" s="1"/>
  <c r="H322" i="4"/>
  <c r="H3" i="4"/>
  <c r="H4" i="4" s="1"/>
  <c r="J3" i="4"/>
  <c r="J4" i="4" s="1"/>
  <c r="L3" i="4"/>
  <c r="L4" i="4" s="1"/>
  <c r="J4" i="2"/>
  <c r="H321" i="2"/>
  <c r="H6" i="2"/>
  <c r="H7" i="2" s="1"/>
  <c r="H8" i="2" s="1"/>
  <c r="I321" i="2"/>
  <c r="I6" i="2"/>
  <c r="I7" i="2" s="1"/>
  <c r="I8" i="2" s="1"/>
  <c r="K321" i="2"/>
  <c r="K6" i="2"/>
  <c r="K7" i="2" s="1"/>
  <c r="K8" i="2" s="1"/>
  <c r="J321" i="2"/>
  <c r="J6" i="2"/>
  <c r="J7" i="2" s="1"/>
  <c r="J8" i="2" s="1"/>
  <c r="I4" i="2"/>
  <c r="O322" i="4"/>
  <c r="P4" i="4"/>
  <c r="P322" i="4"/>
  <c r="N4" i="4"/>
  <c r="L322" i="4"/>
  <c r="J322" i="4"/>
  <c r="K4" i="2"/>
  <c r="H4" i="2"/>
  <c r="H6" i="4" l="1"/>
  <c r="H7" i="4" s="1"/>
  <c r="J6" i="4"/>
  <c r="J7" i="4" s="1"/>
  <c r="J8" i="4" s="1"/>
  <c r="L6" i="4"/>
  <c r="L7" i="4" s="1"/>
  <c r="L8" i="4" s="1"/>
  <c r="F322" i="4"/>
  <c r="N8" i="4"/>
  <c r="Q322" i="4"/>
  <c r="P8" i="4"/>
  <c r="M322" i="4"/>
  <c r="K322" i="4"/>
  <c r="I322" i="4"/>
  <c r="G322" i="4" l="1"/>
  <c r="H8" i="4"/>
  <c r="G5" i="2" l="1"/>
  <c r="G4" i="2"/>
  <c r="G6" i="2" l="1"/>
  <c r="G7" i="2" s="1"/>
  <c r="G8" i="2" s="1"/>
  <c r="G321" i="2"/>
  <c r="F3" i="2"/>
  <c r="F4" i="2" l="1"/>
  <c r="F11" i="2"/>
  <c r="F5" i="2"/>
  <c r="F321" i="2" l="1"/>
  <c r="F6" i="2"/>
  <c r="F7" i="2" s="1"/>
  <c r="F8" i="2" s="1"/>
  <c r="R6" i="8" l="1"/>
  <c r="U6" i="8" l="1"/>
  <c r="T7" i="8" s="1"/>
  <c r="S6" i="8"/>
  <c r="G5" i="8"/>
  <c r="O6" i="8"/>
  <c r="H5" i="8" l="1"/>
  <c r="K5" i="8"/>
  <c r="G6" i="8"/>
  <c r="H6" i="8" s="1"/>
  <c r="O7" i="8"/>
  <c r="R7" i="8" l="1"/>
  <c r="S7" i="8" l="1"/>
  <c r="U7" i="8"/>
  <c r="T8" i="8" s="1"/>
  <c r="K6" i="8"/>
  <c r="O8" i="8" l="1"/>
  <c r="G7" i="8"/>
  <c r="H7" i="8" s="1"/>
  <c r="R8" i="8"/>
  <c r="S8" i="8" s="1"/>
  <c r="U8" i="8" l="1"/>
  <c r="T9" i="8" s="1"/>
  <c r="K7" i="8"/>
  <c r="O9" i="8" l="1"/>
  <c r="G8" i="8"/>
  <c r="H8" i="8" s="1"/>
  <c r="R9" i="8"/>
  <c r="S9" i="8" s="1"/>
  <c r="U9" i="8" l="1"/>
  <c r="T10" i="8" s="1"/>
  <c r="K8" i="8"/>
  <c r="O10" i="8" l="1"/>
  <c r="G9" i="8"/>
  <c r="H9" i="8" s="1"/>
  <c r="R10" i="8"/>
  <c r="S10" i="8" s="1"/>
  <c r="U10" i="8" l="1"/>
  <c r="T11" i="8" s="1"/>
  <c r="K9" i="8"/>
  <c r="O11" i="8" l="1"/>
  <c r="G10" i="8"/>
  <c r="H10" i="8" s="1"/>
  <c r="R11" i="8"/>
  <c r="S11" i="8" s="1"/>
  <c r="U11" i="8" l="1"/>
  <c r="T12" i="8" s="1"/>
  <c r="K10" i="8"/>
  <c r="O12" i="8" l="1"/>
  <c r="G11" i="8"/>
  <c r="H11" i="8" s="1"/>
  <c r="R12" i="8"/>
  <c r="S12" i="8" s="1"/>
  <c r="U12" i="8" l="1"/>
  <c r="T13" i="8" s="1"/>
  <c r="K11" i="8"/>
  <c r="O13" i="8" l="1"/>
  <c r="G12" i="8"/>
  <c r="H12" i="8" s="1"/>
  <c r="R13" i="8"/>
  <c r="S13" i="8" s="1"/>
  <c r="U13" i="8" l="1"/>
  <c r="T14" i="8" s="1"/>
  <c r="K12" i="8"/>
  <c r="O14" i="8" l="1"/>
  <c r="G13" i="8"/>
  <c r="H13" i="8" s="1"/>
  <c r="R14" i="8"/>
  <c r="S14" i="8" s="1"/>
  <c r="U14" i="8" l="1"/>
  <c r="T15" i="8" s="1"/>
  <c r="K13" i="8"/>
  <c r="O15" i="8" l="1"/>
  <c r="G14" i="8"/>
  <c r="H14" i="8" s="1"/>
  <c r="R15" i="8"/>
  <c r="S15" i="8" s="1"/>
  <c r="U15" i="8" l="1"/>
  <c r="T16" i="8" s="1"/>
  <c r="K14" i="8"/>
  <c r="O16" i="8" l="1"/>
  <c r="G15" i="8"/>
  <c r="H15" i="8" s="1"/>
  <c r="R16" i="8"/>
  <c r="S16" i="8" s="1"/>
  <c r="U16" i="8" l="1"/>
  <c r="T17" i="8" s="1"/>
  <c r="K15" i="8"/>
  <c r="O17" i="8" l="1"/>
  <c r="G16" i="8"/>
  <c r="H16" i="8" s="1"/>
  <c r="R17" i="8"/>
  <c r="S17" i="8" s="1"/>
  <c r="U17" i="8" l="1"/>
  <c r="T18" i="8" s="1"/>
  <c r="K16" i="8"/>
  <c r="O18" i="8" l="1"/>
  <c r="G17" i="8"/>
  <c r="H17" i="8" s="1"/>
  <c r="R18" i="8"/>
  <c r="S18" i="8" s="1"/>
  <c r="U18" i="8" l="1"/>
  <c r="T19" i="8" s="1"/>
  <c r="K17" i="8"/>
  <c r="O19" i="8" l="1"/>
  <c r="G18" i="8"/>
  <c r="H18" i="8" s="1"/>
  <c r="R19" i="8"/>
  <c r="S19" i="8" s="1"/>
  <c r="U19" i="8" l="1"/>
  <c r="T20" i="8" s="1"/>
  <c r="K18" i="8"/>
  <c r="O20" i="8" l="1"/>
  <c r="G19" i="8"/>
  <c r="H19" i="8" s="1"/>
  <c r="R20" i="8"/>
  <c r="S20" i="8" s="1"/>
  <c r="U20" i="8" l="1"/>
  <c r="T21" i="8" s="1"/>
  <c r="K19" i="8"/>
  <c r="O21" i="8" l="1"/>
  <c r="G20" i="8"/>
  <c r="H20" i="8" s="1"/>
  <c r="R21" i="8"/>
  <c r="S21" i="8" s="1"/>
  <c r="U21" i="8" l="1"/>
  <c r="T22" i="8" s="1"/>
  <c r="K20" i="8"/>
  <c r="O22" i="8" l="1"/>
  <c r="G21" i="8"/>
  <c r="H21" i="8" s="1"/>
  <c r="R22" i="8"/>
  <c r="S22" i="8" s="1"/>
  <c r="U22" i="8" l="1"/>
  <c r="T23" i="8" s="1"/>
  <c r="K21" i="8"/>
  <c r="O23" i="8" l="1"/>
  <c r="G22" i="8"/>
  <c r="H22" i="8" s="1"/>
  <c r="R23" i="8"/>
  <c r="S23" i="8" s="1"/>
  <c r="U23" i="8" l="1"/>
  <c r="T24" i="8" s="1"/>
  <c r="K22" i="8"/>
  <c r="O24" i="8" l="1"/>
  <c r="G23" i="8"/>
  <c r="H23" i="8" s="1"/>
  <c r="R24" i="8"/>
  <c r="S24" i="8" s="1"/>
  <c r="U24" i="8" l="1"/>
  <c r="T25" i="8" s="1"/>
  <c r="K23" i="8"/>
  <c r="O25" i="8" l="1"/>
  <c r="G24" i="8"/>
  <c r="H24" i="8" s="1"/>
  <c r="R25" i="8"/>
  <c r="S25" i="8" s="1"/>
  <c r="U25" i="8" l="1"/>
  <c r="T26" i="8" s="1"/>
  <c r="K24" i="8"/>
  <c r="O26" i="8" l="1"/>
  <c r="G25" i="8"/>
  <c r="H25" i="8" s="1"/>
  <c r="R26" i="8"/>
  <c r="S26" i="8" s="1"/>
  <c r="U26" i="8" l="1"/>
  <c r="T27" i="8" s="1"/>
  <c r="K25" i="8"/>
  <c r="O27" i="8" l="1"/>
  <c r="G26" i="8"/>
  <c r="H26" i="8" s="1"/>
  <c r="R27" i="8"/>
  <c r="S27" i="8" s="1"/>
  <c r="U27" i="8" l="1"/>
  <c r="T28" i="8" s="1"/>
  <c r="K26" i="8"/>
  <c r="O28" i="8" l="1"/>
  <c r="G27" i="8"/>
  <c r="H27" i="8" s="1"/>
  <c r="R28" i="8"/>
  <c r="S28" i="8" s="1"/>
  <c r="U28" i="8" l="1"/>
  <c r="T29" i="8" s="1"/>
  <c r="K27" i="8"/>
  <c r="O29" i="8" l="1"/>
  <c r="G28" i="8"/>
  <c r="H28" i="8" s="1"/>
  <c r="R29" i="8"/>
  <c r="S29" i="8" s="1"/>
  <c r="U29" i="8" l="1"/>
  <c r="G29" i="8" s="1"/>
  <c r="H29" i="8" s="1"/>
  <c r="C32" i="8" s="1"/>
  <c r="K28" i="8"/>
  <c r="C34" i="8" l="1"/>
  <c r="C33" i="8"/>
  <c r="C36" i="8" s="1"/>
  <c r="C28" i="8"/>
  <c r="C30" i="8" s="1"/>
  <c r="K29" i="8" l="1"/>
  <c r="C37" i="8" s="1"/>
  <c r="C35" i="8" l="1"/>
  <c r="I1" i="7" l="1"/>
  <c r="I14" i="7"/>
  <c r="I10" i="7"/>
  <c r="I18" i="7"/>
  <c r="I29" i="7"/>
  <c r="I15" i="7"/>
  <c r="I28" i="7"/>
  <c r="I6" i="7"/>
  <c r="I24" i="7"/>
  <c r="I25" i="7"/>
  <c r="I21" i="7"/>
  <c r="I22" i="7"/>
  <c r="I7" i="7"/>
  <c r="I23" i="7"/>
  <c r="I16" i="7"/>
  <c r="I12" i="7"/>
  <c r="I4" i="7"/>
  <c r="I19" i="7"/>
  <c r="I27" i="7"/>
  <c r="I8" i="7"/>
  <c r="I11" i="7"/>
  <c r="I17" i="7"/>
  <c r="I20" i="7"/>
  <c r="I13" i="7"/>
  <c r="I9" i="7"/>
  <c r="I26" i="7"/>
  <c r="J4" i="7" l="1"/>
  <c r="J5" i="7" s="1"/>
  <c r="J6" i="7" s="1"/>
  <c r="J7" i="7" s="1"/>
  <c r="J8" i="7" s="1"/>
  <c r="J9" i="7" s="1"/>
  <c r="J10" i="7" s="1"/>
  <c r="J11" i="7" s="1"/>
  <c r="J12" i="7" s="1"/>
  <c r="J13" i="7" s="1"/>
  <c r="J14" i="7" s="1"/>
  <c r="J15" i="7" s="1"/>
  <c r="J16" i="7" s="1"/>
  <c r="J17" i="7" s="1"/>
  <c r="J18" i="7" s="1"/>
  <c r="J19" i="7" s="1"/>
  <c r="J20" i="7" s="1"/>
  <c r="J21" i="7" s="1"/>
  <c r="J22" i="7" s="1"/>
  <c r="J23" i="7" s="1"/>
  <c r="J24" i="7" s="1"/>
  <c r="J25" i="7" s="1"/>
  <c r="J26" i="7" s="1"/>
  <c r="J27" i="7" s="1"/>
  <c r="J28" i="7" s="1"/>
  <c r="J29" i="7" s="1"/>
  <c r="C29" i="7" s="1"/>
  <c r="F3" i="4"/>
  <c r="F6" i="4" s="1"/>
  <c r="R6" i="4" s="1"/>
  <c r="R7" i="4" s="1"/>
  <c r="C30" i="7" l="1"/>
  <c r="F7" i="4"/>
  <c r="F8" i="4" s="1"/>
  <c r="F4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乘哥(PC)</author>
  </authors>
  <commentList>
    <comment ref="B1" authorId="0" shapeId="0" xr:uid="{719A8D68-CA6A-4A20-B4DE-43D3E849742D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 xml:space="preserve">(PC):
</t>
        </r>
        <r>
          <rPr>
            <sz val="9"/>
            <color indexed="81"/>
            <rFont val="細明體"/>
            <family val="3"/>
            <charset val="136"/>
          </rPr>
          <t xml:space="preserve">
資料來自：</t>
        </r>
        <r>
          <rPr>
            <sz val="9"/>
            <color indexed="81"/>
            <rFont val="Tahoma"/>
            <family val="2"/>
          </rPr>
          <t>MORNINGSTAR
https://www.morningstar.com/etfs/xnas/qqq/chart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乘哥(PC)</author>
  </authors>
  <commentList>
    <comment ref="A1" authorId="0" shapeId="0" xr:uid="{4D0B68FB-3C63-49C1-9CB7-41C8D17112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【投入金額】
每個月以</t>
        </r>
        <r>
          <rPr>
            <sz val="9"/>
            <color indexed="81"/>
            <rFont val="Tahoma"/>
            <family val="2"/>
          </rPr>
          <t>$USD1,000(</t>
        </r>
        <r>
          <rPr>
            <sz val="9"/>
            <color indexed="81"/>
            <rFont val="細明體"/>
            <family val="3"/>
            <charset val="136"/>
          </rPr>
          <t>約</t>
        </r>
        <r>
          <rPr>
            <sz val="9"/>
            <color indexed="81"/>
            <rFont val="Tahoma"/>
            <family val="2"/>
          </rPr>
          <t>$NTD30,000)</t>
        </r>
        <r>
          <rPr>
            <sz val="9"/>
            <color indexed="81"/>
            <rFont val="細明體"/>
            <family val="3"/>
            <charset val="136"/>
          </rPr>
          <t>，或
總金額約</t>
        </r>
        <r>
          <rPr>
            <sz val="9"/>
            <color indexed="81"/>
            <rFont val="Tahoma"/>
            <family val="2"/>
          </rPr>
          <t>$USD300,000(</t>
        </r>
        <r>
          <rPr>
            <sz val="9"/>
            <color indexed="81"/>
            <rFont val="細明體"/>
            <family val="3"/>
            <charset val="136"/>
          </rPr>
          <t>約</t>
        </r>
        <r>
          <rPr>
            <sz val="9"/>
            <color indexed="81"/>
            <rFont val="Tahoma"/>
            <family val="2"/>
          </rPr>
          <t xml:space="preserve">$NTD10,000,000)
</t>
        </r>
      </text>
    </comment>
    <comment ref="A2" authorId="0" shapeId="0" xr:uid="{FAA880EF-791F-474D-9AC1-95A0BA4AE2D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【總股數】
以投入金額買進當時股價之整數股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細明體"/>
            <family val="3"/>
            <charset val="136"/>
          </rPr>
          <t>不計手續費</t>
        </r>
        <r>
          <rPr>
            <sz val="9"/>
            <color indexed="81"/>
            <rFont val="Tahoma"/>
            <family val="2"/>
          </rPr>
          <t>)</t>
        </r>
        <r>
          <rPr>
            <sz val="9"/>
            <color indexed="81"/>
            <rFont val="細明體"/>
            <family val="3"/>
            <charset val="136"/>
          </rPr>
          <t xml:space="preserve">，加總各期之所有買進股數。
</t>
        </r>
      </text>
    </comment>
    <comment ref="A3" authorId="0" shapeId="0" xr:uid="{78E32FC2-B8D9-43AC-BDED-944D923DAB9C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 xml:space="preserve">【總投入】
</t>
        </r>
        <r>
          <rPr>
            <sz val="9"/>
            <color indexed="81"/>
            <rFont val="Tahoma"/>
            <family val="2"/>
          </rPr>
          <t>=</t>
        </r>
        <r>
          <rPr>
            <sz val="9"/>
            <color indexed="81"/>
            <rFont val="細明體"/>
            <family val="3"/>
            <charset val="136"/>
          </rPr>
          <t>總和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細明體"/>
            <family val="3"/>
            <charset val="136"/>
          </rPr>
          <t>股價</t>
        </r>
        <r>
          <rPr>
            <sz val="9"/>
            <color indexed="81"/>
            <rFont val="Tahoma"/>
            <family val="2"/>
          </rPr>
          <t>*</t>
        </r>
        <r>
          <rPr>
            <sz val="9"/>
            <color indexed="81"/>
            <rFont val="細明體"/>
            <family val="3"/>
            <charset val="136"/>
          </rPr>
          <t>買進股數</t>
        </r>
        <r>
          <rPr>
            <sz val="9"/>
            <color indexed="81"/>
            <rFont val="Tahoma"/>
            <family val="2"/>
          </rPr>
          <t>)</t>
        </r>
        <r>
          <rPr>
            <sz val="9"/>
            <color indexed="81"/>
            <rFont val="細明體"/>
            <family val="3"/>
            <charset val="136"/>
          </rPr>
          <t>，以負值表示投入。</t>
        </r>
      </text>
    </comment>
    <comment ref="A4" authorId="0" shapeId="0" xr:uid="{9B825E0A-1602-422B-B5F4-1F52D5081561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 xml:space="preserve">【投入均價】
</t>
        </r>
        <r>
          <rPr>
            <sz val="9"/>
            <color indexed="81"/>
            <rFont val="Tahoma"/>
            <family val="2"/>
          </rPr>
          <t>=</t>
        </r>
        <r>
          <rPr>
            <sz val="9"/>
            <color indexed="81"/>
            <rFont val="細明體"/>
            <family val="3"/>
            <charset val="136"/>
          </rPr>
          <t>總投入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細明體"/>
            <family val="3"/>
            <charset val="136"/>
          </rPr>
          <t>總股數。</t>
        </r>
      </text>
    </comment>
    <comment ref="A5" authorId="0" shapeId="0" xr:uid="{973D526C-1B4E-4EE4-84DC-186796EF131B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【現值】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細明體"/>
            <family val="3"/>
            <charset val="136"/>
          </rPr>
          <t>不含息</t>
        </r>
        <r>
          <rPr>
            <sz val="9"/>
            <color indexed="81"/>
            <rFont val="Tahoma"/>
            <family val="2"/>
          </rPr>
          <t>)</t>
        </r>
        <r>
          <rPr>
            <sz val="9"/>
            <color indexed="81"/>
            <rFont val="細明體"/>
            <family val="3"/>
            <charset val="136"/>
          </rPr>
          <t xml:space="preserve">
</t>
        </r>
        <r>
          <rPr>
            <sz val="9"/>
            <color indexed="81"/>
            <rFont val="Tahoma"/>
            <family val="2"/>
          </rPr>
          <t>=</t>
        </r>
        <r>
          <rPr>
            <sz val="9"/>
            <color indexed="81"/>
            <rFont val="細明體"/>
            <family val="3"/>
            <charset val="136"/>
          </rPr>
          <t>總股數</t>
        </r>
        <r>
          <rPr>
            <sz val="9"/>
            <color indexed="81"/>
            <rFont val="Tahoma"/>
            <family val="2"/>
          </rPr>
          <t>*</t>
        </r>
        <r>
          <rPr>
            <sz val="9"/>
            <color indexed="81"/>
            <rFont val="細明體"/>
            <family val="3"/>
            <charset val="136"/>
          </rPr>
          <t>目前股價。</t>
        </r>
      </text>
    </comment>
    <comment ref="A6" authorId="0" shapeId="0" xr:uid="{D5603AC5-4301-49FB-B896-E7A0AECE803A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 xml:space="preserve">【總損益】
</t>
        </r>
        <r>
          <rPr>
            <sz val="9"/>
            <color indexed="81"/>
            <rFont val="Tahoma"/>
            <family val="2"/>
          </rPr>
          <t>=</t>
        </r>
        <r>
          <rPr>
            <sz val="9"/>
            <color indexed="81"/>
            <rFont val="細明體"/>
            <family val="3"/>
            <charset val="136"/>
          </rPr>
          <t>現值</t>
        </r>
        <r>
          <rPr>
            <sz val="9"/>
            <color indexed="81"/>
            <rFont val="Tahoma"/>
            <family val="2"/>
          </rPr>
          <t>-ABS(</t>
        </r>
        <r>
          <rPr>
            <sz val="9"/>
            <color indexed="81"/>
            <rFont val="細明體"/>
            <family val="3"/>
            <charset val="136"/>
          </rPr>
          <t>總投入</t>
        </r>
        <r>
          <rPr>
            <sz val="9"/>
            <color indexed="81"/>
            <rFont val="Tahoma"/>
            <family val="2"/>
          </rPr>
          <t>)</t>
        </r>
        <r>
          <rPr>
            <sz val="9"/>
            <color indexed="81"/>
            <rFont val="細明體"/>
            <family val="3"/>
            <charset val="136"/>
          </rPr>
          <t>，不含息再投入。</t>
        </r>
      </text>
    </comment>
    <comment ref="A7" authorId="0" shapeId="0" xr:uid="{EDEE1B2B-1AAD-46CF-B307-CFF89BCC7C47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【總損益</t>
        </r>
        <r>
          <rPr>
            <sz val="9"/>
            <color indexed="81"/>
            <rFont val="Tahoma"/>
            <family val="2"/>
          </rPr>
          <t>%</t>
        </r>
        <r>
          <rPr>
            <sz val="9"/>
            <color indexed="81"/>
            <rFont val="細明體"/>
            <family val="3"/>
            <charset val="136"/>
          </rPr>
          <t xml:space="preserve">】
</t>
        </r>
        <r>
          <rPr>
            <sz val="9"/>
            <color indexed="81"/>
            <rFont val="Tahoma"/>
            <family val="2"/>
          </rPr>
          <t>=</t>
        </r>
        <r>
          <rPr>
            <sz val="9"/>
            <color indexed="81"/>
            <rFont val="細明體"/>
            <family val="3"/>
            <charset val="136"/>
          </rPr>
          <t>損益</t>
        </r>
        <r>
          <rPr>
            <sz val="9"/>
            <color indexed="81"/>
            <rFont val="Tahoma"/>
            <family val="2"/>
          </rPr>
          <t>/ABS(</t>
        </r>
        <r>
          <rPr>
            <sz val="9"/>
            <color indexed="81"/>
            <rFont val="細明體"/>
            <family val="3"/>
            <charset val="136"/>
          </rPr>
          <t>總投入</t>
        </r>
        <r>
          <rPr>
            <sz val="9"/>
            <color indexed="81"/>
            <rFont val="Tahoma"/>
            <family val="2"/>
          </rPr>
          <t>)</t>
        </r>
        <r>
          <rPr>
            <sz val="9"/>
            <color indexed="81"/>
            <rFont val="細明體"/>
            <family val="3"/>
            <charset val="136"/>
          </rPr>
          <t>。</t>
        </r>
      </text>
    </comment>
    <comment ref="A8" authorId="0" shapeId="0" xr:uid="{D8AA7AAF-D16C-4FE9-8D62-81AB77A16473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【年化報酬</t>
        </r>
        <r>
          <rPr>
            <sz val="9"/>
            <color indexed="81"/>
            <rFont val="Tahoma"/>
            <family val="2"/>
          </rPr>
          <t>%</t>
        </r>
        <r>
          <rPr>
            <sz val="9"/>
            <color indexed="81"/>
            <rFont val="細明體"/>
            <family val="3"/>
            <charset val="136"/>
          </rPr>
          <t xml:space="preserve">】
</t>
        </r>
        <r>
          <rPr>
            <sz val="9"/>
            <color indexed="81"/>
            <rFont val="Tahoma"/>
            <family val="2"/>
          </rPr>
          <t>=(1+</t>
        </r>
        <r>
          <rPr>
            <sz val="9"/>
            <color indexed="81"/>
            <rFont val="細明體"/>
            <family val="3"/>
            <charset val="136"/>
          </rPr>
          <t>總損益</t>
        </r>
        <r>
          <rPr>
            <sz val="9"/>
            <color indexed="81"/>
            <rFont val="Tahoma"/>
            <family val="2"/>
          </rPr>
          <t>%)^(1/</t>
        </r>
        <r>
          <rPr>
            <sz val="9"/>
            <color indexed="81"/>
            <rFont val="細明體"/>
            <family val="3"/>
            <charset val="136"/>
          </rPr>
          <t>年度</t>
        </r>
        <r>
          <rPr>
            <sz val="9"/>
            <color indexed="81"/>
            <rFont val="Tahoma"/>
            <family val="2"/>
          </rPr>
          <t>)-1</t>
        </r>
        <r>
          <rPr>
            <sz val="9"/>
            <color indexed="81"/>
            <rFont val="細明體"/>
            <family val="3"/>
            <charset val="136"/>
          </rPr>
          <t xml:space="preserve">
年度</t>
        </r>
        <r>
          <rPr>
            <sz val="9"/>
            <color indexed="81"/>
            <rFont val="Tahoma"/>
            <family val="2"/>
          </rPr>
          <t>=25.81</t>
        </r>
        <r>
          <rPr>
            <sz val="9"/>
            <color indexed="81"/>
            <rFont val="細明體"/>
            <family val="3"/>
            <charset val="136"/>
          </rPr>
          <t>年計，不考慮投入時間而以總投入所得之總損益</t>
        </r>
        <r>
          <rPr>
            <sz val="9"/>
            <color indexed="81"/>
            <rFont val="Tahoma"/>
            <family val="2"/>
          </rPr>
          <t>%</t>
        </r>
        <r>
          <rPr>
            <sz val="9"/>
            <color indexed="81"/>
            <rFont val="細明體"/>
            <family val="3"/>
            <charset val="136"/>
          </rPr>
          <t>來計算報酬，也就是忽略時間機會成本。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乘哥(PC)</author>
  </authors>
  <commentList>
    <comment ref="A2" authorId="0" shapeId="0" xr:uid="{FE4EECC3-C103-46A0-A33E-5CE588197ACF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【總股數】
以投入金額買進當時股價之整數股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細明體"/>
            <family val="3"/>
            <charset val="136"/>
          </rPr>
          <t>不計手續費</t>
        </r>
        <r>
          <rPr>
            <sz val="9"/>
            <color indexed="81"/>
            <rFont val="Tahoma"/>
            <family val="2"/>
          </rPr>
          <t>)</t>
        </r>
        <r>
          <rPr>
            <sz val="9"/>
            <color indexed="81"/>
            <rFont val="細明體"/>
            <family val="3"/>
            <charset val="136"/>
          </rPr>
          <t xml:space="preserve">，加總各期之所有買進股數。
</t>
        </r>
      </text>
    </comment>
    <comment ref="A3" authorId="0" shapeId="0" xr:uid="{6DE73A75-590F-46B0-9FC2-3BE81A8FD76C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 xml:space="preserve">【總投入】
</t>
        </r>
        <r>
          <rPr>
            <sz val="9"/>
            <color indexed="81"/>
            <rFont val="Tahoma"/>
            <family val="2"/>
          </rPr>
          <t>=</t>
        </r>
        <r>
          <rPr>
            <sz val="9"/>
            <color indexed="81"/>
            <rFont val="細明體"/>
            <family val="3"/>
            <charset val="136"/>
          </rPr>
          <t>總和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細明體"/>
            <family val="3"/>
            <charset val="136"/>
          </rPr>
          <t>股價</t>
        </r>
        <r>
          <rPr>
            <sz val="9"/>
            <color indexed="81"/>
            <rFont val="Tahoma"/>
            <family val="2"/>
          </rPr>
          <t>*</t>
        </r>
        <r>
          <rPr>
            <sz val="9"/>
            <color indexed="81"/>
            <rFont val="細明體"/>
            <family val="3"/>
            <charset val="136"/>
          </rPr>
          <t>買進股數</t>
        </r>
        <r>
          <rPr>
            <sz val="9"/>
            <color indexed="81"/>
            <rFont val="Tahoma"/>
            <family val="2"/>
          </rPr>
          <t>)</t>
        </r>
        <r>
          <rPr>
            <sz val="9"/>
            <color indexed="81"/>
            <rFont val="細明體"/>
            <family val="3"/>
            <charset val="136"/>
          </rPr>
          <t>，以負值表示投入。</t>
        </r>
      </text>
    </comment>
    <comment ref="A4" authorId="0" shapeId="0" xr:uid="{341C1C5A-EE8B-41B6-9143-658E815BB687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 xml:space="preserve">【投入均價】
</t>
        </r>
        <r>
          <rPr>
            <sz val="9"/>
            <color indexed="81"/>
            <rFont val="Tahoma"/>
            <family val="2"/>
          </rPr>
          <t>=</t>
        </r>
        <r>
          <rPr>
            <sz val="9"/>
            <color indexed="81"/>
            <rFont val="細明體"/>
            <family val="3"/>
            <charset val="136"/>
          </rPr>
          <t>總投入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細明體"/>
            <family val="3"/>
            <charset val="136"/>
          </rPr>
          <t>總股數。</t>
        </r>
      </text>
    </comment>
    <comment ref="A5" authorId="0" shapeId="0" xr:uid="{4DC2714C-43BA-4760-8E49-7682BA45673C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【現值】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細明體"/>
            <family val="3"/>
            <charset val="136"/>
          </rPr>
          <t>不含息</t>
        </r>
        <r>
          <rPr>
            <sz val="9"/>
            <color indexed="81"/>
            <rFont val="Tahoma"/>
            <family val="2"/>
          </rPr>
          <t>)</t>
        </r>
        <r>
          <rPr>
            <sz val="9"/>
            <color indexed="81"/>
            <rFont val="細明體"/>
            <family val="3"/>
            <charset val="136"/>
          </rPr>
          <t xml:space="preserve">
</t>
        </r>
        <r>
          <rPr>
            <sz val="9"/>
            <color indexed="81"/>
            <rFont val="Tahoma"/>
            <family val="2"/>
          </rPr>
          <t>=</t>
        </r>
        <r>
          <rPr>
            <sz val="9"/>
            <color indexed="81"/>
            <rFont val="細明體"/>
            <family val="3"/>
            <charset val="136"/>
          </rPr>
          <t>總股數</t>
        </r>
        <r>
          <rPr>
            <sz val="9"/>
            <color indexed="81"/>
            <rFont val="Tahoma"/>
            <family val="2"/>
          </rPr>
          <t>*</t>
        </r>
        <r>
          <rPr>
            <sz val="9"/>
            <color indexed="81"/>
            <rFont val="細明體"/>
            <family val="3"/>
            <charset val="136"/>
          </rPr>
          <t>目前股價。</t>
        </r>
      </text>
    </comment>
    <comment ref="A6" authorId="0" shapeId="0" xr:uid="{5BBF4038-EC77-4816-BB11-FA39EEF9C02F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 xml:space="preserve">【總損益】
</t>
        </r>
        <r>
          <rPr>
            <sz val="9"/>
            <color indexed="81"/>
            <rFont val="Tahoma"/>
            <family val="2"/>
          </rPr>
          <t>=</t>
        </r>
        <r>
          <rPr>
            <sz val="9"/>
            <color indexed="81"/>
            <rFont val="細明體"/>
            <family val="3"/>
            <charset val="136"/>
          </rPr>
          <t>現值</t>
        </r>
        <r>
          <rPr>
            <sz val="9"/>
            <color indexed="81"/>
            <rFont val="Tahoma"/>
            <family val="2"/>
          </rPr>
          <t>-ABS(</t>
        </r>
        <r>
          <rPr>
            <sz val="9"/>
            <color indexed="81"/>
            <rFont val="細明體"/>
            <family val="3"/>
            <charset val="136"/>
          </rPr>
          <t>總投入</t>
        </r>
        <r>
          <rPr>
            <sz val="9"/>
            <color indexed="81"/>
            <rFont val="Tahoma"/>
            <family val="2"/>
          </rPr>
          <t>)</t>
        </r>
        <r>
          <rPr>
            <sz val="9"/>
            <color indexed="81"/>
            <rFont val="細明體"/>
            <family val="3"/>
            <charset val="136"/>
          </rPr>
          <t>，不含息再投入。</t>
        </r>
      </text>
    </comment>
    <comment ref="A7" authorId="0" shapeId="0" xr:uid="{1415DE54-20C1-4AEA-9C98-7B3B003FB24F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【總損益</t>
        </r>
        <r>
          <rPr>
            <sz val="9"/>
            <color indexed="81"/>
            <rFont val="Tahoma"/>
            <family val="2"/>
          </rPr>
          <t>%</t>
        </r>
        <r>
          <rPr>
            <sz val="9"/>
            <color indexed="81"/>
            <rFont val="細明體"/>
            <family val="3"/>
            <charset val="136"/>
          </rPr>
          <t xml:space="preserve">】
</t>
        </r>
        <r>
          <rPr>
            <sz val="9"/>
            <color indexed="81"/>
            <rFont val="Tahoma"/>
            <family val="2"/>
          </rPr>
          <t>=</t>
        </r>
        <r>
          <rPr>
            <sz val="9"/>
            <color indexed="81"/>
            <rFont val="細明體"/>
            <family val="3"/>
            <charset val="136"/>
          </rPr>
          <t>損益</t>
        </r>
        <r>
          <rPr>
            <sz val="9"/>
            <color indexed="81"/>
            <rFont val="Tahoma"/>
            <family val="2"/>
          </rPr>
          <t>/ABS(</t>
        </r>
        <r>
          <rPr>
            <sz val="9"/>
            <color indexed="81"/>
            <rFont val="細明體"/>
            <family val="3"/>
            <charset val="136"/>
          </rPr>
          <t>總投入</t>
        </r>
        <r>
          <rPr>
            <sz val="9"/>
            <color indexed="81"/>
            <rFont val="Tahoma"/>
            <family val="2"/>
          </rPr>
          <t>)</t>
        </r>
        <r>
          <rPr>
            <sz val="9"/>
            <color indexed="81"/>
            <rFont val="細明體"/>
            <family val="3"/>
            <charset val="136"/>
          </rPr>
          <t>。</t>
        </r>
      </text>
    </comment>
    <comment ref="A8" authorId="0" shapeId="0" xr:uid="{136D39C2-5046-4919-9FB1-535B07E007C3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【年化報酬</t>
        </r>
        <r>
          <rPr>
            <sz val="9"/>
            <color indexed="81"/>
            <rFont val="Tahoma"/>
            <family val="2"/>
          </rPr>
          <t>%</t>
        </r>
        <r>
          <rPr>
            <sz val="9"/>
            <color indexed="81"/>
            <rFont val="細明體"/>
            <family val="3"/>
            <charset val="136"/>
          </rPr>
          <t xml:space="preserve">】
</t>
        </r>
        <r>
          <rPr>
            <sz val="9"/>
            <color indexed="81"/>
            <rFont val="Tahoma"/>
            <family val="2"/>
          </rPr>
          <t>=(1+</t>
        </r>
        <r>
          <rPr>
            <sz val="9"/>
            <color indexed="81"/>
            <rFont val="細明體"/>
            <family val="3"/>
            <charset val="136"/>
          </rPr>
          <t>總損益</t>
        </r>
        <r>
          <rPr>
            <sz val="9"/>
            <color indexed="81"/>
            <rFont val="Tahoma"/>
            <family val="2"/>
          </rPr>
          <t>%)^(1/</t>
        </r>
        <r>
          <rPr>
            <sz val="9"/>
            <color indexed="81"/>
            <rFont val="細明體"/>
            <family val="3"/>
            <charset val="136"/>
          </rPr>
          <t>年度</t>
        </r>
        <r>
          <rPr>
            <sz val="9"/>
            <color indexed="81"/>
            <rFont val="Tahoma"/>
            <family val="2"/>
          </rPr>
          <t>)-1</t>
        </r>
        <r>
          <rPr>
            <sz val="9"/>
            <color indexed="81"/>
            <rFont val="細明體"/>
            <family val="3"/>
            <charset val="136"/>
          </rPr>
          <t xml:space="preserve">
年度</t>
        </r>
        <r>
          <rPr>
            <sz val="9"/>
            <color indexed="81"/>
            <rFont val="Tahoma"/>
            <family val="2"/>
          </rPr>
          <t>=25.81</t>
        </r>
        <r>
          <rPr>
            <sz val="9"/>
            <color indexed="81"/>
            <rFont val="細明體"/>
            <family val="3"/>
            <charset val="136"/>
          </rPr>
          <t>年計，不考慮投入時間而以總投入所得之總損益</t>
        </r>
        <r>
          <rPr>
            <sz val="9"/>
            <color indexed="81"/>
            <rFont val="Tahoma"/>
            <family val="2"/>
          </rPr>
          <t>%</t>
        </r>
        <r>
          <rPr>
            <sz val="9"/>
            <color indexed="81"/>
            <rFont val="細明體"/>
            <family val="3"/>
            <charset val="136"/>
          </rPr>
          <t>來計算報酬，也就是忽略時間機會成本。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乘哥(PC)</author>
    <author>Huang. PC (TPE)</author>
  </authors>
  <commentList>
    <comment ref="B1" authorId="0" shapeId="0" xr:uid="{00000000-0006-0000-0400-000001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 xml:space="preserve">欄位底色有其意義，說明如下：
</t>
        </r>
        <r>
          <rPr>
            <sz val="11"/>
            <color indexed="81"/>
            <rFont val="Tahoma"/>
            <family val="2"/>
          </rPr>
          <t xml:space="preserve">A. </t>
        </r>
        <r>
          <rPr>
            <sz val="11"/>
            <color indexed="81"/>
            <rFont val="細明體"/>
            <family val="3"/>
            <charset val="136"/>
          </rPr>
          <t xml:space="preserve">黃底黑字：使用者可依實際情況進行輸入。
</t>
        </r>
        <r>
          <rPr>
            <sz val="11"/>
            <color indexed="81"/>
            <rFont val="Tahoma"/>
            <family val="2"/>
          </rPr>
          <t xml:space="preserve">B. </t>
        </r>
        <r>
          <rPr>
            <sz val="11"/>
            <color indexed="81"/>
            <rFont val="細明體"/>
            <family val="3"/>
            <charset val="136"/>
          </rPr>
          <t xml:space="preserve">粉紅色底：公式計算，不可變更內容。
</t>
        </r>
        <r>
          <rPr>
            <sz val="11"/>
            <color indexed="81"/>
            <rFont val="Tahoma"/>
            <family val="2"/>
          </rPr>
          <t xml:space="preserve">C. </t>
        </r>
        <r>
          <rPr>
            <sz val="11"/>
            <color indexed="81"/>
            <rFont val="細明體"/>
            <family val="3"/>
            <charset val="136"/>
          </rPr>
          <t>綠底綠字：負值，表示回測失敗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暴倉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 xml:space="preserve">。
</t>
        </r>
        <r>
          <rPr>
            <sz val="11"/>
            <color indexed="81"/>
            <rFont val="Tahoma"/>
            <family val="2"/>
          </rPr>
          <t xml:space="preserve">D. </t>
        </r>
        <r>
          <rPr>
            <sz val="11"/>
            <color indexed="81"/>
            <rFont val="細明體"/>
            <family val="3"/>
            <charset val="136"/>
          </rPr>
          <t>黃底紅字：雖然不是負值，但資金低於基本生活費用所需</t>
        </r>
        <r>
          <rPr>
            <sz val="9"/>
            <color indexed="81"/>
            <rFont val="細明體"/>
            <family val="3"/>
            <charset val="136"/>
          </rPr>
          <t xml:space="preserve">。
</t>
        </r>
      </text>
    </comment>
    <comment ref="B3" authorId="0" shapeId="0" xr:uid="{00000000-0006-0000-0400-000004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退休後所在生活地的通膨率，以台灣近十年約為</t>
        </r>
        <r>
          <rPr>
            <sz val="11"/>
            <color indexed="81"/>
            <rFont val="Tahoma"/>
            <family val="2"/>
          </rPr>
          <t>2~3%</t>
        </r>
        <r>
          <rPr>
            <sz val="11"/>
            <color indexed="81"/>
            <rFont val="細明體"/>
            <family val="3"/>
            <charset val="136"/>
          </rPr>
          <t>。</t>
        </r>
      </text>
    </comment>
    <comment ref="B4" authorId="0" shapeId="0" xr:uid="{8FCE1BE7-79BA-43F3-9A7A-9551CB555981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輸入出生的年度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細明體"/>
            <family val="3"/>
            <charset val="136"/>
          </rPr>
          <t>西曆</t>
        </r>
        <r>
          <rPr>
            <sz val="9"/>
            <color indexed="81"/>
            <rFont val="Tahoma"/>
            <family val="2"/>
          </rPr>
          <t>)</t>
        </r>
        <r>
          <rPr>
            <sz val="9"/>
            <color indexed="81"/>
            <rFont val="細明體"/>
            <family val="3"/>
            <charset val="136"/>
          </rPr>
          <t>，用以計算目前年齡。</t>
        </r>
      </text>
    </comment>
    <comment ref="B5" authorId="0" shapeId="0" xr:uid="{00000000-0006-0000-0400-000002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 xml:space="preserve">可以依出生年度計算目前的年齡。
</t>
        </r>
      </text>
    </comment>
    <comment ref="B6" authorId="0" shapeId="0" xr:uid="{00000000-0006-0000-0400-000003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可以依自己期望退休的年齡做輸入，計算目標的資產，或由系統計算何時可以退休的年齡。</t>
        </r>
      </text>
    </comment>
    <comment ref="B7" authorId="0" shapeId="0" xr:uid="{1DD0528A-1E9D-40CE-9792-297E1B101134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自動計算退休年齡的西曆年度。</t>
        </r>
      </text>
    </comment>
    <comment ref="B8" authorId="0" shapeId="0" xr:uid="{0E9A94CB-01A0-4F27-A51F-69BFE66D219B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回測</t>
        </r>
        <r>
          <rPr>
            <sz val="9"/>
            <color indexed="81"/>
            <rFont val="Tahoma"/>
            <family val="2"/>
          </rPr>
          <t xml:space="preserve"> QQQ </t>
        </r>
        <r>
          <rPr>
            <sz val="9"/>
            <color indexed="81"/>
            <rFont val="細明體"/>
            <family val="3"/>
            <charset val="136"/>
          </rPr>
          <t>自</t>
        </r>
        <r>
          <rPr>
            <sz val="9"/>
            <color indexed="81"/>
            <rFont val="Tahoma"/>
            <family val="2"/>
          </rPr>
          <t xml:space="preserve"> 1999 ~ 2024 </t>
        </r>
        <r>
          <rPr>
            <sz val="9"/>
            <color indexed="81"/>
            <rFont val="細明體"/>
            <family val="3"/>
            <charset val="136"/>
          </rPr>
          <t>的累積總報酬率。</t>
        </r>
      </text>
    </comment>
    <comment ref="B9" authorId="0" shapeId="0" xr:uid="{AFB9D477-3919-4C67-937B-CEE86C282741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QQQ </t>
        </r>
        <r>
          <rPr>
            <sz val="9"/>
            <color indexed="81"/>
            <rFont val="細明體"/>
            <family val="3"/>
            <charset val="136"/>
          </rPr>
          <t>總回測年數。</t>
        </r>
      </text>
    </comment>
    <comment ref="B10" authorId="0" shapeId="0" xr:uid="{4EBF51A9-56F9-4777-82C5-4C066BF24BF4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回測累積總報酬率所得之年化報酬率。</t>
        </r>
      </text>
    </comment>
    <comment ref="B11" authorId="0" shapeId="0" xr:uid="{00000000-0006-0000-0400-000005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 xml:space="preserve">不列入投資資金中，需額外準備以防不時之需。
</t>
        </r>
        <r>
          <rPr>
            <sz val="11"/>
            <color indexed="81"/>
            <rFont val="細明體"/>
            <family val="3"/>
            <charset val="136"/>
          </rPr>
          <t>預設為</t>
        </r>
        <r>
          <rPr>
            <sz val="11"/>
            <color indexed="81"/>
            <rFont val="Tahoma"/>
            <family val="2"/>
          </rPr>
          <t>$NTD144</t>
        </r>
        <r>
          <rPr>
            <sz val="11"/>
            <color indexed="81"/>
            <rFont val="細明體"/>
            <family val="3"/>
            <charset val="136"/>
          </rPr>
          <t>萬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如兩年生活費，能應急短期安心的金額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，緊急預備金與日常生活費不同，用於突發事件時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如重病或重大天災、人禍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需要之緊急資金，可將此資金先停泊於定存或短債中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無風險變現快的方式，多少可抗部分通膨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，需考慮分散以避免如股市休市、銀行休市期間無法即時變現。</t>
        </r>
      </text>
    </comment>
    <comment ref="B12" authorId="0" shapeId="0" xr:uid="{00000000-0006-0000-0400-000006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設定目前每年所需之生活費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細明體"/>
            <family val="3"/>
            <charset val="136"/>
          </rPr>
          <t>如</t>
        </r>
        <r>
          <rPr>
            <sz val="11"/>
            <color indexed="81"/>
            <rFont val="Tahoma"/>
            <family val="2"/>
          </rPr>
          <t>$NTD72</t>
        </r>
        <r>
          <rPr>
            <sz val="11"/>
            <color indexed="81"/>
            <rFont val="細明體"/>
            <family val="3"/>
            <charset val="136"/>
          </rPr>
          <t>萬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 xml:space="preserve">，會參考通膨率計算退休後想要的生活水平所需的年生活費。
</t>
        </r>
      </text>
    </comment>
    <comment ref="B13" authorId="0" shapeId="0" xr:uid="{D3A8251A-5250-438F-9732-C02649E19B91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有工作者建議保留</t>
        </r>
        <r>
          <rPr>
            <sz val="9"/>
            <color indexed="81"/>
            <rFont val="Tahoma"/>
            <family val="2"/>
          </rPr>
          <t>6~12</t>
        </r>
        <r>
          <rPr>
            <sz val="9"/>
            <color indexed="81"/>
            <rFont val="細明體"/>
            <family val="3"/>
            <charset val="136"/>
          </rPr>
          <t>個月的生活費。</t>
        </r>
      </text>
    </comment>
    <comment ref="B14" authorId="0" shapeId="0" xr:uid="{551946BC-B69A-471B-98A8-F589DEEC41F3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月生活費</t>
        </r>
        <r>
          <rPr>
            <sz val="9"/>
            <color indexed="81"/>
            <rFont val="Tahoma"/>
            <family val="2"/>
          </rPr>
          <t>=</t>
        </r>
        <r>
          <rPr>
            <sz val="9"/>
            <color indexed="81"/>
            <rFont val="細明體"/>
            <family val="3"/>
            <charset val="136"/>
          </rPr>
          <t>年生活費
保留總生活費</t>
        </r>
        <r>
          <rPr>
            <sz val="9"/>
            <color indexed="81"/>
            <rFont val="Tahoma"/>
            <family val="2"/>
          </rPr>
          <t>=</t>
        </r>
        <r>
          <rPr>
            <sz val="9"/>
            <color indexed="81"/>
            <rFont val="細明體"/>
            <family val="3"/>
            <charset val="136"/>
          </rPr>
          <t>月生活費</t>
        </r>
        <r>
          <rPr>
            <sz val="9"/>
            <color indexed="81"/>
            <rFont val="Tahoma"/>
            <family val="2"/>
          </rPr>
          <t>*</t>
        </r>
        <r>
          <rPr>
            <sz val="9"/>
            <color indexed="81"/>
            <rFont val="細明體"/>
            <family val="3"/>
            <charset val="136"/>
          </rPr>
          <t>保留生活費月數</t>
        </r>
      </text>
    </comment>
    <comment ref="B15" authorId="0" shapeId="0" xr:uid="{00000000-0006-0000-0400-000007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 xml:space="preserve">以目前年生活費及通膨率計算退休時所需的退休年生活費。
</t>
        </r>
        <r>
          <rPr>
            <sz val="11"/>
            <color indexed="81"/>
            <rFont val="Tahoma"/>
            <family val="2"/>
          </rPr>
          <t xml:space="preserve">= </t>
        </r>
        <r>
          <rPr>
            <sz val="11"/>
            <color indexed="81"/>
            <rFont val="細明體"/>
            <family val="3"/>
            <charset val="136"/>
          </rPr>
          <t>目前年生活費</t>
        </r>
        <r>
          <rPr>
            <sz val="11"/>
            <color indexed="81"/>
            <rFont val="Tahoma"/>
            <family val="2"/>
          </rPr>
          <t xml:space="preserve"> * (1+</t>
        </r>
        <r>
          <rPr>
            <sz val="11"/>
            <color indexed="81"/>
            <rFont val="細明體"/>
            <family val="3"/>
            <charset val="136"/>
          </rPr>
          <t>通膨率</t>
        </r>
        <r>
          <rPr>
            <sz val="11"/>
            <color indexed="81"/>
            <rFont val="Tahoma"/>
            <family val="2"/>
          </rPr>
          <t>)^</t>
        </r>
        <r>
          <rPr>
            <sz val="11"/>
            <color indexed="81"/>
            <rFont val="細明體"/>
            <family val="3"/>
            <charset val="136"/>
          </rPr>
          <t>年數。</t>
        </r>
      </text>
    </comment>
    <comment ref="B16" authorId="0" shapeId="0" xr:uid="{6DF4AE0D-CA5E-4057-81F8-D8FE1CB3C39A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退休無收入者建議保留</t>
        </r>
        <r>
          <rPr>
            <sz val="9"/>
            <color indexed="81"/>
            <rFont val="Tahoma"/>
            <family val="2"/>
          </rPr>
          <t>1~3</t>
        </r>
        <r>
          <rPr>
            <sz val="9"/>
            <color indexed="81"/>
            <rFont val="細明體"/>
            <family val="3"/>
            <charset val="136"/>
          </rPr>
          <t>年</t>
        </r>
        <r>
          <rPr>
            <sz val="9"/>
            <color indexed="81"/>
            <rFont val="細明體"/>
            <family val="3"/>
            <charset val="136"/>
          </rPr>
          <t>的生活費。</t>
        </r>
      </text>
    </comment>
    <comment ref="B18" authorId="0" shapeId="0" xr:uid="{151CDC5C-D071-406B-957F-33A889935304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在試算當下已投入的總資金，做為初期投入資金。</t>
        </r>
      </text>
    </comment>
    <comment ref="B19" authorId="0" shapeId="0" xr:uid="{D9C622A1-CC5E-4857-B4F8-54B2299BCCD7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工作期間每年可再投入的資金。</t>
        </r>
      </text>
    </comment>
    <comment ref="B20" authorId="0" shapeId="0" xr:uid="{59B81DC2-324A-431D-B00D-93E5E8498C2D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目前至退休前持續工作再投入的年數。</t>
        </r>
      </text>
    </comment>
    <comment ref="B21" authorId="1" shapeId="0" xr:uid="{DE69278B-63F0-45FD-9421-A6B36C162017}">
      <text>
        <r>
          <rPr>
            <b/>
            <sz val="9"/>
            <color indexed="81"/>
            <rFont val="Tahoma"/>
            <family val="2"/>
          </rPr>
          <t>Huang. PC (TPE):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在工作期間所做資產配置的貝他值，用以計算期未預期的總資產。</t>
        </r>
      </text>
    </comment>
    <comment ref="B22" authorId="0" shapeId="0" xr:uid="{81E67C67-3137-43BD-8823-649AB5B03125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工作期間再投入至退休前的總投入資金。</t>
        </r>
      </text>
    </comment>
    <comment ref="B23" authorId="0" shapeId="0" xr:uid="{CAA1CF8C-8F82-49BD-99BB-4885BA081F86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退休前投資預期可以累積的總資產。</t>
        </r>
      </text>
    </comment>
    <comment ref="B24" authorId="0" shapeId="0" xr:uid="{00000000-0006-0000-0400-000008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設定可退休的生活費所需的倍數，建我值</t>
        </r>
        <r>
          <rPr>
            <sz val="11"/>
            <color indexed="81"/>
            <rFont val="Tahoma"/>
            <family val="2"/>
          </rPr>
          <t xml:space="preserve"> 50</t>
        </r>
        <r>
          <rPr>
            <sz val="11"/>
            <color indexed="81"/>
            <rFont val="細明體"/>
            <family val="3"/>
            <charset val="136"/>
          </rPr>
          <t>。
依據歷史資訊</t>
        </r>
        <r>
          <rPr>
            <sz val="11"/>
            <color indexed="81"/>
            <rFont val="Tahoma"/>
            <family val="2"/>
          </rPr>
          <t>(2000</t>
        </r>
        <r>
          <rPr>
            <sz val="11"/>
            <color indexed="81"/>
            <rFont val="細明體"/>
            <family val="3"/>
            <charset val="136"/>
          </rPr>
          <t>、</t>
        </r>
        <r>
          <rPr>
            <sz val="11"/>
            <color indexed="81"/>
            <rFont val="Tahoma"/>
            <family val="2"/>
          </rPr>
          <t>2008</t>
        </r>
        <r>
          <rPr>
            <sz val="11"/>
            <color indexed="81"/>
            <rFont val="細明體"/>
            <family val="3"/>
            <charset val="136"/>
          </rPr>
          <t>大股災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估算目標倍數可讓投資成長與生活費提領達到平衡，可做到永遠花不完，若屬保險性格可改為</t>
        </r>
        <r>
          <rPr>
            <sz val="11"/>
            <color indexed="81"/>
            <rFont val="Tahoma"/>
            <family val="2"/>
          </rPr>
          <t xml:space="preserve"> 50</t>
        </r>
        <r>
          <rPr>
            <sz val="11"/>
            <color indexed="81"/>
            <rFont val="細明體"/>
            <family val="3"/>
            <charset val="136"/>
          </rPr>
          <t>，以對抗更大的股災。</t>
        </r>
      </text>
    </comment>
    <comment ref="B25" authorId="0" shapeId="0" xr:uid="{00000000-0006-0000-0400-000009000000}">
      <text>
        <r>
          <rPr>
            <b/>
            <sz val="11"/>
            <color indexed="81"/>
            <rFont val="細明體"/>
            <family val="3"/>
            <charset val="136"/>
          </rPr>
          <t>乘哥</t>
        </r>
        <r>
          <rPr>
            <b/>
            <sz val="11"/>
            <color indexed="81"/>
            <rFont val="Tahoma"/>
            <family val="2"/>
          </rPr>
          <t>(PC):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 xml:space="preserve">做為投入股市回測的資金。
</t>
        </r>
        <r>
          <rPr>
            <sz val="11"/>
            <color indexed="81"/>
            <rFont val="Tahoma"/>
            <family val="2"/>
          </rPr>
          <t xml:space="preserve">= </t>
        </r>
        <r>
          <rPr>
            <sz val="11"/>
            <color indexed="81"/>
            <rFont val="細明體"/>
            <family val="3"/>
            <charset val="136"/>
          </rPr>
          <t>目標倍數</t>
        </r>
        <r>
          <rPr>
            <sz val="11"/>
            <color indexed="81"/>
            <rFont val="Tahoma"/>
            <family val="2"/>
          </rPr>
          <t>*</t>
        </r>
        <r>
          <rPr>
            <sz val="11"/>
            <color indexed="81"/>
            <rFont val="細明體"/>
            <family val="3"/>
            <charset val="136"/>
          </rPr>
          <t xml:space="preserve">退休年生活費
</t>
        </r>
      </text>
    </comment>
    <comment ref="B26" authorId="0" shapeId="0" xr:uid="{F56A2FB1-82A3-4694-BEB7-5C57CDCCC74B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在退休前需有此投資資金於股市中，達到這個數值時就表示可以退休了。
目標應有總資產</t>
        </r>
        <r>
          <rPr>
            <sz val="9"/>
            <color indexed="81"/>
            <rFont val="Tahoma"/>
            <family val="2"/>
          </rPr>
          <t>=</t>
        </r>
        <r>
          <rPr>
            <sz val="9"/>
            <color indexed="81"/>
            <rFont val="細明體"/>
            <family val="3"/>
            <charset val="136"/>
          </rPr>
          <t>目標投資資金</t>
        </r>
        <r>
          <rPr>
            <sz val="9"/>
            <color indexed="81"/>
            <rFont val="Tahoma"/>
            <family val="2"/>
          </rPr>
          <t xml:space="preserve">
+ </t>
        </r>
        <r>
          <rPr>
            <sz val="9"/>
            <color indexed="81"/>
            <rFont val="細明體"/>
            <family val="3"/>
            <charset val="136"/>
          </rPr>
          <t>保留總生活費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Tahoma"/>
            <family val="2"/>
          </rPr>
          <t xml:space="preserve">+ </t>
        </r>
        <r>
          <rPr>
            <sz val="9"/>
            <color indexed="81"/>
            <rFont val="細明體"/>
            <family val="3"/>
            <charset val="136"/>
          </rPr>
          <t>緊急備用金</t>
        </r>
      </text>
    </comment>
    <comment ref="B27" authorId="0" shapeId="0" xr:uid="{19A18DD1-5233-4FAA-B39D-B73A153CFE77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在退休前之期末總資產與目標應有總資產間的差異，正值表示可退休，負值表示無法退休，需調整投入資金或工作年限。</t>
        </r>
      </text>
    </comment>
    <comment ref="B28" authorId="0" shapeId="0" xr:uid="{37938827-C831-44FD-8760-77A4470698AE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按下右側按鈕可依參數計算可以退休的年齡，若超過</t>
        </r>
        <r>
          <rPr>
            <sz val="9"/>
            <color indexed="81"/>
            <rFont val="Tahoma"/>
            <family val="2"/>
          </rPr>
          <t xml:space="preserve"> 65 </t>
        </r>
        <r>
          <rPr>
            <sz val="9"/>
            <color indexed="81"/>
            <rFont val="細明體"/>
            <family val="3"/>
            <charset val="136"/>
          </rPr>
          <t>表示無法正常退休，需調整投資參數。</t>
        </r>
      </text>
    </comment>
    <comment ref="B29" authorId="1" shapeId="0" xr:uid="{42E56B2F-C169-425F-A0AE-078A29F069C3}">
      <text>
        <r>
          <rPr>
            <b/>
            <sz val="9"/>
            <color indexed="81"/>
            <rFont val="Tahoma"/>
            <family val="2"/>
          </rPr>
          <t>Huang. PC (TPE):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由期末總資產開始進行</t>
        </r>
        <r>
          <rPr>
            <sz val="9"/>
            <color indexed="81"/>
            <rFont val="Tahoma"/>
            <family val="2"/>
          </rPr>
          <t xml:space="preserve"> QQQ </t>
        </r>
        <r>
          <rPr>
            <sz val="9"/>
            <color indexed="81"/>
            <rFont val="細明體"/>
            <family val="3"/>
            <charset val="136"/>
          </rPr>
          <t>二十五年的回測，並以退休年生活費進行提領，最終結餘為回測初值的累績總報酬</t>
        </r>
        <r>
          <rPr>
            <sz val="9"/>
            <color indexed="81"/>
            <rFont val="Tahoma"/>
            <family val="2"/>
          </rPr>
          <t>%</t>
        </r>
        <r>
          <rPr>
            <sz val="9"/>
            <color indexed="81"/>
            <rFont val="細明體"/>
            <family val="3"/>
            <charset val="136"/>
          </rPr>
          <t>。</t>
        </r>
      </text>
    </comment>
    <comment ref="B30" authorId="0" shapeId="0" xr:uid="{0346B577-885B-40F0-AAF7-483E6CDF7822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回測累積總報酬率所得之年化報酬率。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乘哥(PC)</author>
    <author>Huang. PC (TPE)</author>
  </authors>
  <commentList>
    <comment ref="B1" authorId="0" shapeId="0" xr:uid="{00000000-0006-0000-0500-000001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 xml:space="preserve">欄位底色有其意義，說明如下：
</t>
        </r>
        <r>
          <rPr>
            <sz val="11"/>
            <color indexed="81"/>
            <rFont val="Tahoma"/>
            <family val="2"/>
          </rPr>
          <t xml:space="preserve">A. </t>
        </r>
        <r>
          <rPr>
            <sz val="11"/>
            <color indexed="81"/>
            <rFont val="細明體"/>
            <family val="3"/>
            <charset val="136"/>
          </rPr>
          <t xml:space="preserve">黃底黑字：使用者可依實際情況進行輸入。
</t>
        </r>
        <r>
          <rPr>
            <sz val="11"/>
            <color indexed="81"/>
            <rFont val="Tahoma"/>
            <family val="2"/>
          </rPr>
          <t xml:space="preserve">B. </t>
        </r>
        <r>
          <rPr>
            <sz val="11"/>
            <color indexed="81"/>
            <rFont val="細明體"/>
            <family val="3"/>
            <charset val="136"/>
          </rPr>
          <t xml:space="preserve">粉紅色底：公式計算，不可變更內容。
</t>
        </r>
        <r>
          <rPr>
            <sz val="11"/>
            <color indexed="81"/>
            <rFont val="Tahoma"/>
            <family val="2"/>
          </rPr>
          <t xml:space="preserve">C. </t>
        </r>
        <r>
          <rPr>
            <sz val="11"/>
            <color indexed="81"/>
            <rFont val="細明體"/>
            <family val="3"/>
            <charset val="136"/>
          </rPr>
          <t>綠底綠字：負值，表示回測失敗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暴倉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 xml:space="preserve">。
</t>
        </r>
        <r>
          <rPr>
            <sz val="11"/>
            <color indexed="81"/>
            <rFont val="Tahoma"/>
            <family val="2"/>
          </rPr>
          <t xml:space="preserve">D. </t>
        </r>
        <r>
          <rPr>
            <sz val="11"/>
            <color indexed="81"/>
            <rFont val="細明體"/>
            <family val="3"/>
            <charset val="136"/>
          </rPr>
          <t>黃底紅字：雖然不是負值，但資金低於基本生活費用所需</t>
        </r>
        <r>
          <rPr>
            <sz val="9"/>
            <color indexed="81"/>
            <rFont val="細明體"/>
            <family val="3"/>
            <charset val="136"/>
          </rPr>
          <t xml:space="preserve">。
</t>
        </r>
      </text>
    </comment>
    <comment ref="F2" authorId="0" shapeId="0" xr:uid="{00000000-0006-0000-0500-000002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於上年度年底借出做為今年一年的生活費。</t>
        </r>
      </text>
    </comment>
    <comment ref="G2" authorId="0" shapeId="0" xr:uid="{00000000-0006-0000-0500-000003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年底結算市值。</t>
        </r>
        <r>
          <rPr>
            <sz val="9"/>
            <color indexed="81"/>
            <rFont val="Tahoma"/>
            <family val="2"/>
          </rPr>
          <t xml:space="preserve"> </t>
        </r>
      </text>
    </comment>
    <comment ref="H2" authorId="0" shapeId="0" xr:uid="{00000000-0006-0000-0500-000004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= (G)</t>
        </r>
        <r>
          <rPr>
            <sz val="9"/>
            <color indexed="81"/>
            <rFont val="細明體"/>
            <family val="3"/>
            <charset val="136"/>
          </rPr>
          <t>年度市值</t>
        </r>
        <r>
          <rPr>
            <sz val="9"/>
            <color indexed="81"/>
            <rFont val="Tahoma"/>
            <family val="2"/>
          </rPr>
          <t xml:space="preserve"> - (K)</t>
        </r>
        <r>
          <rPr>
            <sz val="9"/>
            <color indexed="81"/>
            <rFont val="細明體"/>
            <family val="3"/>
            <charset val="136"/>
          </rPr>
          <t>累計質押借款</t>
        </r>
      </text>
    </comment>
    <comment ref="I2" authorId="0" shapeId="0" xr:uid="{00000000-0006-0000-0500-000006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= (</t>
        </r>
        <r>
          <rPr>
            <sz val="9"/>
            <color indexed="81"/>
            <rFont val="細明體"/>
            <family val="3"/>
            <charset val="136"/>
          </rPr>
          <t>累計借款</t>
        </r>
        <r>
          <rPr>
            <sz val="9"/>
            <color indexed="81"/>
            <rFont val="Tahoma"/>
            <family val="2"/>
          </rPr>
          <t>+</t>
        </r>
        <r>
          <rPr>
            <sz val="9"/>
            <color indexed="81"/>
            <rFont val="細明體"/>
            <family val="3"/>
            <charset val="136"/>
          </rPr>
          <t>當年度新借款</t>
        </r>
        <r>
          <rPr>
            <sz val="9"/>
            <color indexed="81"/>
            <rFont val="Tahoma"/>
            <family val="2"/>
          </rPr>
          <t xml:space="preserve">) * </t>
        </r>
        <r>
          <rPr>
            <sz val="9"/>
            <color indexed="81"/>
            <rFont val="細明體"/>
            <family val="3"/>
            <charset val="136"/>
          </rPr>
          <t>質押利率</t>
        </r>
      </text>
    </comment>
    <comment ref="J2" authorId="0" shapeId="0" xr:uid="{00000000-0006-0000-0500-000007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= </t>
        </r>
        <r>
          <rPr>
            <sz val="9"/>
            <color indexed="81"/>
            <rFont val="細明體"/>
            <family val="3"/>
            <charset val="136"/>
          </rPr>
          <t>累計借款</t>
        </r>
        <r>
          <rPr>
            <sz val="9"/>
            <color indexed="81"/>
            <rFont val="Tahoma"/>
            <family val="2"/>
          </rPr>
          <t xml:space="preserve"> + </t>
        </r>
        <r>
          <rPr>
            <sz val="9"/>
            <color indexed="81"/>
            <rFont val="細明體"/>
            <family val="3"/>
            <charset val="136"/>
          </rPr>
          <t>當年度借款</t>
        </r>
        <r>
          <rPr>
            <sz val="9"/>
            <color indexed="81"/>
            <rFont val="Tahoma"/>
            <family val="2"/>
          </rPr>
          <t xml:space="preserve"> + </t>
        </r>
        <r>
          <rPr>
            <sz val="9"/>
            <color indexed="81"/>
            <rFont val="細明體"/>
            <family val="3"/>
            <charset val="136"/>
          </rPr>
          <t>當年度利息</t>
        </r>
        <r>
          <rPr>
            <sz val="9"/>
            <color indexed="81"/>
            <rFont val="Tahoma"/>
            <family val="2"/>
          </rPr>
          <t xml:space="preserve"> </t>
        </r>
      </text>
    </comment>
    <comment ref="K2" authorId="0" shapeId="0" xr:uid="{00000000-0006-0000-0500-000008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= </t>
        </r>
        <r>
          <rPr>
            <sz val="9"/>
            <color indexed="81"/>
            <rFont val="細明體"/>
            <family val="3"/>
            <charset val="136"/>
          </rPr>
          <t>市值</t>
        </r>
        <r>
          <rPr>
            <sz val="9"/>
            <color indexed="81"/>
            <rFont val="Tahoma"/>
            <family val="2"/>
          </rPr>
          <t xml:space="preserve"> /  </t>
        </r>
        <r>
          <rPr>
            <sz val="9"/>
            <color indexed="81"/>
            <rFont val="細明體"/>
            <family val="3"/>
            <charset val="136"/>
          </rPr>
          <t>累計借款</t>
        </r>
        <r>
          <rPr>
            <sz val="9"/>
            <color indexed="81"/>
            <rFont val="Tahoma"/>
            <family val="2"/>
          </rPr>
          <t xml:space="preserve"> </t>
        </r>
      </text>
    </comment>
    <comment ref="L2" authorId="0" shapeId="0" xr:uid="{00000000-0006-0000-0500-000009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當年度的漲跌</t>
        </r>
        <r>
          <rPr>
            <sz val="9"/>
            <color indexed="81"/>
            <rFont val="Tahoma"/>
            <family val="2"/>
          </rPr>
          <t xml:space="preserve"> %
= (</t>
        </r>
        <r>
          <rPr>
            <sz val="9"/>
            <color indexed="81"/>
            <rFont val="細明體"/>
            <family val="3"/>
            <charset val="136"/>
          </rPr>
          <t>今年底收盤價</t>
        </r>
        <r>
          <rPr>
            <sz val="9"/>
            <color indexed="81"/>
            <rFont val="Tahoma"/>
            <family val="2"/>
          </rPr>
          <t xml:space="preserve"> - </t>
        </r>
        <r>
          <rPr>
            <sz val="9"/>
            <color indexed="81"/>
            <rFont val="細明體"/>
            <family val="3"/>
            <charset val="136"/>
          </rPr>
          <t>去年底收盤價</t>
        </r>
        <r>
          <rPr>
            <sz val="9"/>
            <color indexed="81"/>
            <rFont val="Tahoma"/>
            <family val="2"/>
          </rPr>
          <t xml:space="preserve">) / </t>
        </r>
        <r>
          <rPr>
            <sz val="9"/>
            <color indexed="81"/>
            <rFont val="細明體"/>
            <family val="3"/>
            <charset val="136"/>
          </rPr>
          <t>去年底收盤價</t>
        </r>
        <r>
          <rPr>
            <sz val="9"/>
            <color indexed="81"/>
            <rFont val="Tahoma"/>
            <family val="2"/>
          </rPr>
          <t xml:space="preserve"> * 100%</t>
        </r>
      </text>
    </comment>
    <comment ref="M2" authorId="0" shapeId="0" xr:uid="{00000000-0006-0000-0500-00000A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當年度年底收盤價</t>
        </r>
      </text>
    </comment>
    <comment ref="N2" authorId="0" shapeId="0" xr:uid="{00000000-0006-0000-0500-00000B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當年年底市值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細明體"/>
            <family val="3"/>
            <charset val="136"/>
          </rPr>
          <t>–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細明體"/>
            <family val="3"/>
            <charset val="136"/>
          </rPr>
          <t>若生活費來自賣股</t>
        </r>
        <r>
          <rPr>
            <sz val="9"/>
            <color indexed="81"/>
            <rFont val="Tahoma"/>
            <family val="2"/>
          </rPr>
          <t xml:space="preserve">)
= </t>
        </r>
        <r>
          <rPr>
            <sz val="9"/>
            <color indexed="81"/>
            <rFont val="細明體"/>
            <family val="3"/>
            <charset val="136"/>
          </rPr>
          <t>收盤價</t>
        </r>
        <r>
          <rPr>
            <sz val="9"/>
            <color indexed="81"/>
            <rFont val="Tahoma"/>
            <family val="2"/>
          </rPr>
          <t xml:space="preserve"> * (1+</t>
        </r>
        <r>
          <rPr>
            <sz val="9"/>
            <color indexed="81"/>
            <rFont val="細明體"/>
            <family val="3"/>
            <charset val="136"/>
          </rPr>
          <t>漲跌</t>
        </r>
        <r>
          <rPr>
            <sz val="9"/>
            <color indexed="81"/>
            <rFont val="Tahoma"/>
            <family val="2"/>
          </rPr>
          <t xml:space="preserve">%) </t>
        </r>
        <r>
          <rPr>
            <sz val="9"/>
            <color indexed="81"/>
            <rFont val="細明體"/>
            <family val="3"/>
            <charset val="136"/>
          </rPr>
          <t>–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細明體"/>
            <family val="3"/>
            <charset val="136"/>
          </rPr>
          <t>年生活費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細明體"/>
            <family val="3"/>
            <charset val="136"/>
          </rPr>
          <t>若賣股過生活</t>
        </r>
        <r>
          <rPr>
            <sz val="9"/>
            <color indexed="81"/>
            <rFont val="Tahoma"/>
            <family val="2"/>
          </rPr>
          <t xml:space="preserve">)
</t>
        </r>
      </text>
    </comment>
    <comment ref="O2" authorId="0" shapeId="0" xr:uid="{00000000-0006-0000-0500-00000C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參考左側⑤再平衡之說明。</t>
        </r>
      </text>
    </comment>
    <comment ref="P2" authorId="0" shapeId="0" xr:uid="{00000000-0006-0000-0500-00000D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當年度的漲跌</t>
        </r>
        <r>
          <rPr>
            <sz val="9"/>
            <color indexed="81"/>
            <rFont val="Tahoma"/>
            <family val="2"/>
          </rPr>
          <t xml:space="preserve"> %
= (</t>
        </r>
        <r>
          <rPr>
            <sz val="9"/>
            <color indexed="81"/>
            <rFont val="細明體"/>
            <family val="3"/>
            <charset val="136"/>
          </rPr>
          <t>今年底收盤價</t>
        </r>
        <r>
          <rPr>
            <sz val="9"/>
            <color indexed="81"/>
            <rFont val="Tahoma"/>
            <family val="2"/>
          </rPr>
          <t xml:space="preserve"> - </t>
        </r>
        <r>
          <rPr>
            <sz val="9"/>
            <color indexed="81"/>
            <rFont val="細明體"/>
            <family val="3"/>
            <charset val="136"/>
          </rPr>
          <t>去年底收盤價</t>
        </r>
        <r>
          <rPr>
            <sz val="9"/>
            <color indexed="81"/>
            <rFont val="Tahoma"/>
            <family val="2"/>
          </rPr>
          <t xml:space="preserve">) / </t>
        </r>
        <r>
          <rPr>
            <sz val="9"/>
            <color indexed="81"/>
            <rFont val="細明體"/>
            <family val="3"/>
            <charset val="136"/>
          </rPr>
          <t>去年底收盤價</t>
        </r>
        <r>
          <rPr>
            <sz val="9"/>
            <color indexed="81"/>
            <rFont val="Tahoma"/>
            <family val="2"/>
          </rPr>
          <t xml:space="preserve"> * 100%</t>
        </r>
      </text>
    </comment>
    <comment ref="Q2" authorId="0" shapeId="0" xr:uid="{00000000-0006-0000-0500-00000E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當年度年底收盤價</t>
        </r>
      </text>
    </comment>
    <comment ref="R2" authorId="0" shapeId="0" xr:uid="{00000000-0006-0000-0500-00000F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當年年底市值</t>
        </r>
      </text>
    </comment>
    <comment ref="S2" authorId="0" shapeId="0" xr:uid="{00000000-0006-0000-0500-000010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參考左側⑤再平衡之說明。</t>
        </r>
      </text>
    </comment>
    <comment ref="T2" authorId="0" shapeId="0" xr:uid="{00000000-0006-0000-0500-000011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當年年底市值，不考慮定存或以短債方式產生的利息。</t>
        </r>
      </text>
    </comment>
    <comment ref="U2" authorId="0" shapeId="0" xr:uid="{00000000-0006-0000-0500-000012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參考左側⑤再平衡之說明。</t>
        </r>
      </text>
    </comment>
    <comment ref="B3" authorId="0" shapeId="0" xr:uid="{00000000-0006-0000-0500-000013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退休後所在生活地的通膨率，以台灣近十年約為</t>
        </r>
        <r>
          <rPr>
            <sz val="11"/>
            <color indexed="81"/>
            <rFont val="Tahoma"/>
            <family val="2"/>
          </rPr>
          <t>2~3%</t>
        </r>
        <r>
          <rPr>
            <sz val="11"/>
            <color indexed="81"/>
            <rFont val="細明體"/>
            <family val="3"/>
            <charset val="136"/>
          </rPr>
          <t>。</t>
        </r>
      </text>
    </comment>
    <comment ref="B4" authorId="0" shapeId="0" xr:uid="{00000000-0006-0000-0500-000014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預設為</t>
        </r>
        <r>
          <rPr>
            <sz val="11"/>
            <color indexed="81"/>
            <rFont val="Tahoma"/>
            <family val="2"/>
          </rPr>
          <t>$NTD144</t>
        </r>
        <r>
          <rPr>
            <sz val="11"/>
            <color indexed="81"/>
            <rFont val="細明體"/>
            <family val="3"/>
            <charset val="136"/>
          </rPr>
          <t>萬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如兩年生活費，能應急短期安心的金額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，緊急預備金與日常生活費不同，用於突發事件時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如重病或重大天災、人禍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需要之緊急資金，可將此資金先停泊於定存中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無風險變現快的方式，多少可抗部分通膨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 xml:space="preserve">，需考慮分散以避免如股市休市、銀行休市期間無法即時變現。
</t>
        </r>
        <r>
          <rPr>
            <b/>
            <sz val="11"/>
            <color indexed="81"/>
            <rFont val="細明體"/>
            <family val="3"/>
            <charset val="136"/>
          </rPr>
          <t>緊急預備金需另外準備，不可投入股市。</t>
        </r>
      </text>
    </comment>
    <comment ref="B5" authorId="0" shapeId="0" xr:uid="{00000000-0006-0000-0500-000015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若採月領制輸入每月可領的勞工退休金與勞保老年給付的總額。</t>
        </r>
      </text>
    </comment>
    <comment ref="B6" authorId="0" shapeId="0" xr:uid="{00000000-0006-0000-0500-000016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若有收入，如薪資、房屋租金、稿費‥等。
若不固定需取其每月平均數。</t>
        </r>
      </text>
    </comment>
    <comment ref="B7" authorId="0" shapeId="0" xr:uid="{00000000-0006-0000-0500-000017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預設為</t>
        </r>
        <r>
          <rPr>
            <sz val="11"/>
            <color indexed="81"/>
            <rFont val="Tahoma"/>
            <family val="2"/>
          </rPr>
          <t>$NTD6</t>
        </r>
        <r>
          <rPr>
            <sz val="11"/>
            <color indexed="81"/>
            <rFont val="細明體"/>
            <family val="3"/>
            <charset val="136"/>
          </rPr>
          <t>萬，設定退休後想要的生活水平，此為退休那年之每月金額數值，公式會逐年依通膨計算增加每月生活費，有固定月薪者保留一年、退休保留三年生活費，可將此資金分批停泊於定存或美短債中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無風險多少可抗通膨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 xml:space="preserve">。
生活費的資金來自於每年賣股票取得，此法在空頭年時有很大的風險，僅做回測目的使用，在實務上不建議採用。
</t>
        </r>
      </text>
    </comment>
    <comment ref="B8" authorId="0" shapeId="0" xr:uid="{00000000-0006-0000-0500-000018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 xml:space="preserve">= </t>
        </r>
        <r>
          <rPr>
            <sz val="11"/>
            <color indexed="81"/>
            <rFont val="細明體"/>
            <family val="3"/>
            <charset val="136"/>
          </rPr>
          <t>月生活費</t>
        </r>
        <r>
          <rPr>
            <sz val="11"/>
            <color indexed="81"/>
            <rFont val="Tahoma"/>
            <family val="2"/>
          </rPr>
          <t xml:space="preserve"> * 12</t>
        </r>
      </text>
    </comment>
    <comment ref="B9" authorId="0" shapeId="0" xr:uid="{00000000-0006-0000-0500-000019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需要由資產配置中提領的金額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質押或現金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 xml:space="preserve">做為生活費之用
</t>
        </r>
        <r>
          <rPr>
            <sz val="11"/>
            <color indexed="81"/>
            <rFont val="Tahoma"/>
            <family val="2"/>
          </rPr>
          <t xml:space="preserve">= </t>
        </r>
        <r>
          <rPr>
            <sz val="11"/>
            <color indexed="81"/>
            <rFont val="細明體"/>
            <family val="3"/>
            <charset val="136"/>
          </rPr>
          <t>月生活費</t>
        </r>
        <r>
          <rPr>
            <sz val="11"/>
            <color indexed="81"/>
            <rFont val="Tahoma"/>
            <family val="2"/>
          </rPr>
          <t xml:space="preserve"> - </t>
        </r>
        <r>
          <rPr>
            <sz val="11"/>
            <color indexed="81"/>
            <rFont val="細明體"/>
            <family val="3"/>
            <charset val="136"/>
          </rPr>
          <t>月勞退金</t>
        </r>
        <r>
          <rPr>
            <sz val="11"/>
            <color indexed="81"/>
            <rFont val="Tahoma"/>
            <family val="2"/>
          </rPr>
          <t xml:space="preserve"> - </t>
        </r>
        <r>
          <rPr>
            <sz val="11"/>
            <color indexed="81"/>
            <rFont val="細明體"/>
            <family val="3"/>
            <charset val="136"/>
          </rPr>
          <t>其他收入，若為負值時設為</t>
        </r>
        <r>
          <rPr>
            <sz val="11"/>
            <color indexed="81"/>
            <rFont val="Tahoma"/>
            <family val="2"/>
          </rPr>
          <t>0</t>
        </r>
        <r>
          <rPr>
            <sz val="11"/>
            <color indexed="81"/>
            <rFont val="細明體"/>
            <family val="3"/>
            <charset val="136"/>
          </rPr>
          <t xml:space="preserve">。
</t>
        </r>
      </text>
    </comment>
    <comment ref="B10" authorId="0" shapeId="0" xr:uid="{00000000-0006-0000-0500-00001A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 xml:space="preserve">每年的淨提領金金額
</t>
        </r>
        <r>
          <rPr>
            <sz val="11"/>
            <color indexed="81"/>
            <rFont val="Tahoma"/>
            <family val="2"/>
          </rPr>
          <t xml:space="preserve">= </t>
        </r>
        <r>
          <rPr>
            <sz val="11"/>
            <color indexed="81"/>
            <rFont val="細明體"/>
            <family val="3"/>
            <charset val="136"/>
          </rPr>
          <t>月淨提領</t>
        </r>
        <r>
          <rPr>
            <sz val="11"/>
            <color indexed="81"/>
            <rFont val="Tahoma"/>
            <family val="2"/>
          </rPr>
          <t xml:space="preserve"> * 12</t>
        </r>
      </text>
    </comment>
    <comment ref="B11" authorId="0" shapeId="0" xr:uid="{00000000-0006-0000-0500-00001C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設定可退休的生活費所需的倍數，建我值</t>
        </r>
        <r>
          <rPr>
            <sz val="11"/>
            <color indexed="81"/>
            <rFont val="Tahoma"/>
            <family val="2"/>
          </rPr>
          <t xml:space="preserve"> 50</t>
        </r>
        <r>
          <rPr>
            <sz val="11"/>
            <color indexed="81"/>
            <rFont val="細明體"/>
            <family val="3"/>
            <charset val="136"/>
          </rPr>
          <t>。
依據歷史資訊</t>
        </r>
        <r>
          <rPr>
            <sz val="11"/>
            <color indexed="81"/>
            <rFont val="Tahoma"/>
            <family val="2"/>
          </rPr>
          <t>(2000</t>
        </r>
        <r>
          <rPr>
            <sz val="11"/>
            <color indexed="81"/>
            <rFont val="細明體"/>
            <family val="3"/>
            <charset val="136"/>
          </rPr>
          <t>、</t>
        </r>
        <r>
          <rPr>
            <sz val="11"/>
            <color indexed="81"/>
            <rFont val="Tahoma"/>
            <family val="2"/>
          </rPr>
          <t>2008</t>
        </r>
        <r>
          <rPr>
            <sz val="11"/>
            <color indexed="81"/>
            <rFont val="細明體"/>
            <family val="3"/>
            <charset val="136"/>
          </rPr>
          <t>大股災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估算目標倍數可讓投資成長與生活費提領達到平衡，可做到永遠花不完，若屬保險性格可改為</t>
        </r>
        <r>
          <rPr>
            <sz val="11"/>
            <color indexed="81"/>
            <rFont val="Tahoma"/>
            <family val="2"/>
          </rPr>
          <t xml:space="preserve"> 50</t>
        </r>
        <r>
          <rPr>
            <sz val="11"/>
            <color indexed="81"/>
            <rFont val="細明體"/>
            <family val="3"/>
            <charset val="136"/>
          </rPr>
          <t>，以對抗更大的股災。</t>
        </r>
      </text>
    </comment>
    <comment ref="B12" authorId="0" shapeId="0" xr:uid="{00000000-0006-0000-0500-00001D000000}">
      <text>
        <r>
          <rPr>
            <b/>
            <sz val="11"/>
            <color indexed="81"/>
            <rFont val="細明體"/>
            <family val="3"/>
            <charset val="136"/>
          </rPr>
          <t>乘哥</t>
        </r>
        <r>
          <rPr>
            <b/>
            <sz val="11"/>
            <color indexed="81"/>
            <rFont val="Tahoma"/>
            <family val="2"/>
          </rPr>
          <t>(PC):</t>
        </r>
        <r>
          <rPr>
            <sz val="11"/>
            <color indexed="81"/>
            <rFont val="Tahoma"/>
            <family val="2"/>
          </rPr>
          <t xml:space="preserve">
= </t>
        </r>
        <r>
          <rPr>
            <sz val="11"/>
            <color indexed="81"/>
            <rFont val="細明體"/>
            <family val="3"/>
            <charset val="136"/>
          </rPr>
          <t>目標倍數</t>
        </r>
        <r>
          <rPr>
            <sz val="11"/>
            <color indexed="81"/>
            <rFont val="Tahoma"/>
            <family val="2"/>
          </rPr>
          <t xml:space="preserve"> * </t>
        </r>
        <r>
          <rPr>
            <sz val="11"/>
            <color indexed="81"/>
            <rFont val="細明體"/>
            <family val="3"/>
            <charset val="136"/>
          </rPr>
          <t xml:space="preserve">年淨提領
當手上股市資產達到這個數值時就表示可以退休了。
</t>
        </r>
        <r>
          <rPr>
            <sz val="11"/>
            <color indexed="81"/>
            <rFont val="Tahoma"/>
            <family val="2"/>
          </rPr>
          <t xml:space="preserve">PS: </t>
        </r>
        <r>
          <rPr>
            <sz val="11"/>
            <color indexed="81"/>
            <rFont val="細明體"/>
            <family val="3"/>
            <charset val="136"/>
          </rPr>
          <t>緊急備用金需另外準備，不可投入股市。</t>
        </r>
      </text>
    </comment>
    <comment ref="B13" authorId="0" shapeId="0" xr:uid="{00000000-0006-0000-0500-00001E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若有收入無需提領，自行輸入投資資金回測續效。</t>
        </r>
      </text>
    </comment>
    <comment ref="B14" authorId="0" shapeId="0" xr:uid="{00000000-0006-0000-0500-00001F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是</t>
        </r>
        <r>
          <rPr>
            <sz val="11"/>
            <color indexed="81"/>
            <rFont val="Tahoma"/>
            <family val="2"/>
          </rPr>
          <t xml:space="preserve">: </t>
        </r>
        <r>
          <rPr>
            <sz val="11"/>
            <color indexed="81"/>
            <rFont val="細明體"/>
            <family val="3"/>
            <charset val="136"/>
          </rPr>
          <t>使用質押取得生活費，並輸入下列質押利率及質押維持率。
否</t>
        </r>
        <r>
          <rPr>
            <sz val="11"/>
            <color indexed="81"/>
            <rFont val="Tahoma"/>
            <family val="2"/>
          </rPr>
          <t xml:space="preserve">: </t>
        </r>
        <r>
          <rPr>
            <sz val="11"/>
            <color indexed="81"/>
            <rFont val="細明體"/>
            <family val="3"/>
            <charset val="136"/>
          </rPr>
          <t>使用現金做為生活費，忽略下列質押利率及質押維持率，且配置中需預留足夠的現金比率。</t>
        </r>
      </text>
    </comment>
    <comment ref="B15" authorId="0" shapeId="0" xr:uid="{00000000-0006-0000-0500-000020000000}">
      <text>
        <r>
          <rPr>
            <b/>
            <sz val="10"/>
            <color indexed="81"/>
            <rFont val="細明體"/>
            <family val="3"/>
            <charset val="136"/>
          </rPr>
          <t>乘哥</t>
        </r>
        <r>
          <rPr>
            <b/>
            <sz val="10"/>
            <color indexed="81"/>
            <rFont val="Tahoma"/>
            <family val="2"/>
          </rPr>
          <t>(PC):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細明體"/>
            <family val="3"/>
            <charset val="136"/>
          </rPr>
          <t>輸入質押券商談定之質押利率</t>
        </r>
        <r>
          <rPr>
            <sz val="10"/>
            <color indexed="81"/>
            <rFont val="Tahoma"/>
            <family val="2"/>
          </rPr>
          <t>%</t>
        </r>
        <r>
          <rPr>
            <sz val="10"/>
            <color indexed="81"/>
            <rFont val="細明體"/>
            <family val="3"/>
            <charset val="136"/>
          </rPr>
          <t>，一般是借新還舊的方式，每</t>
        </r>
        <r>
          <rPr>
            <sz val="10"/>
            <color indexed="81"/>
            <rFont val="Tahoma"/>
            <family val="2"/>
          </rPr>
          <t>18</t>
        </r>
        <r>
          <rPr>
            <sz val="10"/>
            <color indexed="81"/>
            <rFont val="細明體"/>
            <family val="3"/>
            <charset val="136"/>
          </rPr>
          <t>個月</t>
        </r>
        <r>
          <rPr>
            <sz val="10"/>
            <color indexed="81"/>
            <rFont val="Tahoma"/>
            <family val="2"/>
          </rPr>
          <t>(</t>
        </r>
        <r>
          <rPr>
            <sz val="10"/>
            <color indexed="81"/>
            <rFont val="細明體"/>
            <family val="3"/>
            <charset val="136"/>
          </rPr>
          <t>一年半</t>
        </r>
        <r>
          <rPr>
            <sz val="10"/>
            <color indexed="81"/>
            <rFont val="Tahoma"/>
            <family val="2"/>
          </rPr>
          <t>)</t>
        </r>
        <r>
          <rPr>
            <sz val="10"/>
            <color indexed="81"/>
            <rFont val="細明體"/>
            <family val="3"/>
            <charset val="136"/>
          </rPr>
          <t>。</t>
        </r>
      </text>
    </comment>
    <comment ref="B16" authorId="0" shapeId="0" xr:uid="{00000000-0006-0000-0500-000021000000}">
      <text>
        <r>
          <rPr>
            <b/>
            <sz val="10"/>
            <color indexed="81"/>
            <rFont val="細明體"/>
            <family val="3"/>
            <charset val="136"/>
          </rPr>
          <t>乘哥</t>
        </r>
        <r>
          <rPr>
            <b/>
            <sz val="10"/>
            <color indexed="81"/>
            <rFont val="Tahoma"/>
            <family val="2"/>
          </rPr>
          <t>(PC):</t>
        </r>
        <r>
          <rPr>
            <sz val="10"/>
            <color indexed="81"/>
            <rFont val="Tahoma"/>
            <family val="2"/>
          </rPr>
          <t xml:space="preserve">
= </t>
        </r>
        <r>
          <rPr>
            <sz val="10"/>
            <color indexed="81"/>
            <rFont val="細明體"/>
            <family val="3"/>
            <charset val="136"/>
          </rPr>
          <t>市值</t>
        </r>
        <r>
          <rPr>
            <sz val="10"/>
            <color indexed="81"/>
            <rFont val="Tahoma"/>
            <family val="2"/>
          </rPr>
          <t xml:space="preserve"> / </t>
        </r>
        <r>
          <rPr>
            <sz val="10"/>
            <color indexed="81"/>
            <rFont val="細明體"/>
            <family val="3"/>
            <charset val="136"/>
          </rPr>
          <t>累計借款</t>
        </r>
        <r>
          <rPr>
            <sz val="10"/>
            <color indexed="81"/>
            <rFont val="Tahoma"/>
            <family val="2"/>
          </rPr>
          <t xml:space="preserve"> 
</t>
        </r>
        <r>
          <rPr>
            <sz val="10"/>
            <color indexed="81"/>
            <rFont val="細明體"/>
            <family val="3"/>
            <charset val="136"/>
          </rPr>
          <t xml:space="preserve">是質押券商或銀行要求的維持率，要注意計算的時機是每日、每月、每年，不可低於此維持率，券商會要求補足或還款直至高於維持率，否則質押品會被強制賣出以還所借之款項。
</t>
        </r>
      </text>
    </comment>
    <comment ref="B17" authorId="0" shapeId="0" xr:uid="{00000000-0006-0000-0500-000022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資產配置</t>
        </r>
        <r>
          <rPr>
            <sz val="11"/>
            <color indexed="81"/>
            <rFont val="Tahoma"/>
            <family val="2"/>
          </rPr>
          <t>00662(QQQ)</t>
        </r>
        <r>
          <rPr>
            <sz val="11"/>
            <color indexed="81"/>
            <rFont val="細明體"/>
            <family val="3"/>
            <charset val="136"/>
          </rPr>
          <t>的比率</t>
        </r>
        <r>
          <rPr>
            <sz val="11"/>
            <color indexed="81"/>
            <rFont val="Tahoma"/>
            <family val="2"/>
          </rPr>
          <t>%</t>
        </r>
        <r>
          <rPr>
            <sz val="11"/>
            <color indexed="81"/>
            <rFont val="細明體"/>
            <family val="3"/>
            <charset val="136"/>
          </rPr>
          <t>。</t>
        </r>
      </text>
    </comment>
    <comment ref="B18" authorId="0" shapeId="0" xr:uid="{00000000-0006-0000-0500-000023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資產配置</t>
        </r>
        <r>
          <rPr>
            <sz val="11"/>
            <color indexed="81"/>
            <rFont val="Tahoma"/>
            <family val="2"/>
          </rPr>
          <t>00670L(QLD)</t>
        </r>
        <r>
          <rPr>
            <sz val="11"/>
            <color indexed="81"/>
            <rFont val="細明體"/>
            <family val="3"/>
            <charset val="136"/>
          </rPr>
          <t>的比率</t>
        </r>
        <r>
          <rPr>
            <sz val="11"/>
            <color indexed="81"/>
            <rFont val="Tahoma"/>
            <family val="2"/>
          </rPr>
          <t>%</t>
        </r>
        <r>
          <rPr>
            <sz val="11"/>
            <color indexed="81"/>
            <rFont val="細明體"/>
            <family val="3"/>
            <charset val="136"/>
          </rPr>
          <t>。</t>
        </r>
      </text>
    </comment>
    <comment ref="B19" authorId="0" shapeId="0" xr:uid="{00000000-0006-0000-0500-000024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資產配置現金或債券</t>
        </r>
        <r>
          <rPr>
            <sz val="11"/>
            <color indexed="81"/>
            <rFont val="Tahoma"/>
            <family val="2"/>
          </rPr>
          <t>00864B(BOXX)</t>
        </r>
        <r>
          <rPr>
            <sz val="11"/>
            <color indexed="81"/>
            <rFont val="細明體"/>
            <family val="3"/>
            <charset val="136"/>
          </rPr>
          <t>的比率</t>
        </r>
        <r>
          <rPr>
            <sz val="11"/>
            <color indexed="81"/>
            <rFont val="Tahoma"/>
            <family val="2"/>
          </rPr>
          <t>%</t>
        </r>
        <r>
          <rPr>
            <sz val="11"/>
            <color indexed="81"/>
            <rFont val="細明體"/>
            <family val="3"/>
            <charset val="136"/>
          </rPr>
          <t>。</t>
        </r>
      </text>
    </comment>
    <comment ref="B20" authorId="0" shapeId="0" xr:uid="{00000000-0006-0000-0500-000025000000}">
      <text>
        <r>
          <rPr>
            <b/>
            <sz val="9"/>
            <color indexed="81"/>
            <rFont val="細明體"/>
            <family val="3"/>
            <charset val="136"/>
          </rPr>
          <t>乘哥(PC)</t>
        </r>
        <r>
          <rPr>
            <sz val="9"/>
            <color indexed="81"/>
            <rFont val="細明體"/>
            <family val="3"/>
            <charset val="136"/>
          </rPr>
          <t xml:space="preserve">
【0-不做再平衡】
依據投資組合的比率投入資金後，無論漲跌、多空所投入之原型基金、槓桿資金與現金不做再平衡。
【1-正2與現金聰明再平衡】
A. 下跌年：從現金轉(一年生活費的N%，如2%)到槓桿基金。
B. 上漲年：槓桿基金當年度增值部分的X%(如30% 或 50%)轉到現金。
例如，一開始槓桿基金20萬(20%)、現金 20萬(20%)
經過一年之後市場下跌槓桿基金的金額變成 15萬、現金變成21萬，現金轉兩萬到槓桿基金，變成 17萬槓桿基金及19萬現金。
經過一年如果上漲槓桿基金的金額變成 23萬、現金變成21萬。就轉槓桿基金上漲的3萬的 30% 或 50% 到現金。
【2-正2與現金無腦再平衡】
每年槓桿基金和現金平均再平衡，即：
槓桿基金=現金=(槓桿基金+現金)/2。
例如，原本槓桿基金 20萬(20%)、現金 20萬(20%)
經過一年之後市場下跌槓桿基金的金額變成 15萬、現金變成21萬。
簡單再平衡，就是( 15 + 21) / 2 = 18萬。
【3-原型與現金無腦再平衡】
每年原型基金和現金平均再平衡，即：
原型基金=(原型基金+現金)*原型比率。
現金=(原型基金+現金)*現金比率。
</t>
        </r>
      </text>
    </comment>
    <comment ref="B21" authorId="0" shapeId="0" xr:uid="{5E428D88-D0CB-4B88-ABCD-E9344606611E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否：生活費來自月收入，不從投資資金中提領。
是：生活費來自從投資資金中提領。</t>
        </r>
      </text>
    </comment>
    <comment ref="B22" authorId="0" shapeId="0" xr:uid="{00000000-0006-0000-0500-00001B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 xml:space="preserve">年淨提領所佔目標資產的比率。
</t>
        </r>
        <r>
          <rPr>
            <sz val="11"/>
            <color indexed="81"/>
            <rFont val="Tahoma"/>
            <family val="2"/>
          </rPr>
          <t xml:space="preserve">= </t>
        </r>
        <r>
          <rPr>
            <sz val="11"/>
            <color indexed="81"/>
            <rFont val="細明體"/>
            <family val="3"/>
            <charset val="136"/>
          </rPr>
          <t>年淨提領</t>
        </r>
        <r>
          <rPr>
            <sz val="11"/>
            <color indexed="81"/>
            <rFont val="Tahoma"/>
            <family val="2"/>
          </rPr>
          <t xml:space="preserve">/ </t>
        </r>
        <r>
          <rPr>
            <sz val="11"/>
            <color indexed="81"/>
            <rFont val="細明體"/>
            <family val="3"/>
            <charset val="136"/>
          </rPr>
          <t>投資資產</t>
        </r>
      </text>
    </comment>
    <comment ref="B23" authorId="0" shapeId="0" xr:uid="{00000000-0006-0000-0500-000026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僅使用於聰明再平衡時。
於上漲年時將此比率於再平衡時轉入現金。</t>
        </r>
      </text>
    </comment>
    <comment ref="B24" authorId="0" shapeId="0" xr:uid="{00000000-0006-0000-0500-000027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僅用於聰明再平衡時，於下跌年時將年淨提領金額轉至正</t>
        </r>
        <r>
          <rPr>
            <sz val="11"/>
            <color indexed="81"/>
            <rFont val="Tahoma"/>
            <family val="2"/>
          </rPr>
          <t>2</t>
        </r>
        <r>
          <rPr>
            <sz val="11"/>
            <color indexed="81"/>
            <rFont val="細明體"/>
            <family val="3"/>
            <charset val="136"/>
          </rPr>
          <t>做平衡。</t>
        </r>
      </text>
    </comment>
    <comment ref="B25" authorId="0" shapeId="0" xr:uid="{00000000-0006-0000-0500-000028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計算資產配置的貝塔值</t>
        </r>
        <r>
          <rPr>
            <sz val="11"/>
            <color indexed="81"/>
            <rFont val="Tahoma"/>
            <family val="2"/>
          </rPr>
          <t xml:space="preserve">(Beta)
= QQQ </t>
        </r>
        <r>
          <rPr>
            <sz val="11"/>
            <color indexed="81"/>
            <rFont val="細明體"/>
            <family val="3"/>
            <charset val="136"/>
          </rPr>
          <t>佔比</t>
        </r>
        <r>
          <rPr>
            <sz val="11"/>
            <color indexed="81"/>
            <rFont val="Tahoma"/>
            <family val="2"/>
          </rPr>
          <t xml:space="preserve"> * 1 + OLD </t>
        </r>
        <r>
          <rPr>
            <sz val="11"/>
            <color indexed="81"/>
            <rFont val="細明體"/>
            <family val="3"/>
            <charset val="136"/>
          </rPr>
          <t>佔比</t>
        </r>
        <r>
          <rPr>
            <sz val="11"/>
            <color indexed="81"/>
            <rFont val="Tahoma"/>
            <family val="2"/>
          </rPr>
          <t xml:space="preserve"> * 2 + </t>
        </r>
        <r>
          <rPr>
            <sz val="11"/>
            <color indexed="81"/>
            <rFont val="細明體"/>
            <family val="3"/>
            <charset val="136"/>
          </rPr>
          <t>現金佔比</t>
        </r>
        <r>
          <rPr>
            <sz val="11"/>
            <color indexed="81"/>
            <rFont val="Tahoma"/>
            <family val="2"/>
          </rPr>
          <t xml:space="preserve"> * 0</t>
        </r>
      </text>
    </comment>
    <comment ref="B26" authorId="0" shapeId="0" xr:uid="{00000000-0006-0000-0500-000029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回測</t>
        </r>
        <r>
          <rPr>
            <sz val="11"/>
            <color indexed="81"/>
            <rFont val="Tahoma"/>
            <family val="2"/>
          </rPr>
          <t xml:space="preserve"> QQQ 25 </t>
        </r>
        <r>
          <rPr>
            <sz val="11"/>
            <color indexed="81"/>
            <rFont val="細明體"/>
            <family val="3"/>
            <charset val="136"/>
          </rPr>
          <t>年的資料。</t>
        </r>
      </text>
    </comment>
    <comment ref="B27" authorId="0" shapeId="0" xr:uid="{00000000-0006-0000-0500-00002A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回測</t>
        </r>
        <r>
          <rPr>
            <sz val="11"/>
            <color indexed="81"/>
            <rFont val="Tahoma"/>
            <family val="2"/>
          </rPr>
          <t xml:space="preserve">25 </t>
        </r>
        <r>
          <rPr>
            <sz val="11"/>
            <color indexed="81"/>
            <rFont val="細明體"/>
            <family val="3"/>
            <charset val="136"/>
          </rPr>
          <t>年</t>
        </r>
        <r>
          <rPr>
            <sz val="11"/>
            <color indexed="81"/>
            <rFont val="Tahoma"/>
            <family val="2"/>
          </rPr>
          <t xml:space="preserve">QQQ </t>
        </r>
        <r>
          <rPr>
            <sz val="11"/>
            <color indexed="81"/>
            <rFont val="細明體"/>
            <family val="3"/>
            <charset val="136"/>
          </rPr>
          <t>之年化報酬</t>
        </r>
        <r>
          <rPr>
            <sz val="11"/>
            <color indexed="81"/>
            <rFont val="Tahoma"/>
            <family val="2"/>
          </rPr>
          <t>%</t>
        </r>
      </text>
    </comment>
    <comment ref="B28" authorId="0" shapeId="0" xr:uid="{00000000-0006-0000-0500-00002B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回測</t>
        </r>
        <r>
          <rPr>
            <sz val="11"/>
            <color indexed="81"/>
            <rFont val="Tahoma"/>
            <family val="2"/>
          </rPr>
          <t xml:space="preserve">25 </t>
        </r>
        <r>
          <rPr>
            <sz val="11"/>
            <color indexed="81"/>
            <rFont val="細明體"/>
            <family val="3"/>
            <charset val="136"/>
          </rPr>
          <t>年</t>
        </r>
        <r>
          <rPr>
            <sz val="11"/>
            <color indexed="81"/>
            <rFont val="Tahoma"/>
            <family val="2"/>
          </rPr>
          <t xml:space="preserve"> QLD </t>
        </r>
        <r>
          <rPr>
            <sz val="11"/>
            <color indexed="81"/>
            <rFont val="細明體"/>
            <family val="3"/>
            <charset val="136"/>
          </rPr>
          <t>之年化報酬</t>
        </r>
        <r>
          <rPr>
            <sz val="11"/>
            <color indexed="81"/>
            <rFont val="Tahoma"/>
            <family val="2"/>
          </rPr>
          <t>%</t>
        </r>
      </text>
    </comment>
    <comment ref="B29" authorId="0" shapeId="0" xr:uid="{00000000-0006-0000-0500-00002E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現金</t>
        </r>
        <r>
          <rPr>
            <sz val="11"/>
            <color indexed="81"/>
            <rFont val="細明體"/>
            <family val="3"/>
            <charset val="136"/>
          </rPr>
          <t>之年化報酬</t>
        </r>
        <r>
          <rPr>
            <sz val="11"/>
            <color indexed="81"/>
            <rFont val="Tahoma"/>
            <family val="2"/>
          </rPr>
          <t>% = 0%</t>
        </r>
      </text>
    </comment>
    <comment ref="B30" authorId="0" shapeId="0" xr:uid="{00000000-0006-0000-0500-00002F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依資產配置比率計算總年化報酬</t>
        </r>
        <r>
          <rPr>
            <sz val="11"/>
            <color indexed="81"/>
            <rFont val="Tahoma"/>
            <family val="2"/>
          </rPr>
          <t>%
= QQQ</t>
        </r>
        <r>
          <rPr>
            <sz val="11"/>
            <color indexed="81"/>
            <rFont val="細明體"/>
            <family val="3"/>
            <charset val="136"/>
          </rPr>
          <t>佔比</t>
        </r>
        <r>
          <rPr>
            <sz val="11"/>
            <color indexed="81"/>
            <rFont val="Tahoma"/>
            <family val="2"/>
          </rPr>
          <t xml:space="preserve"> * QQQ</t>
        </r>
        <r>
          <rPr>
            <sz val="11"/>
            <color indexed="81"/>
            <rFont val="細明體"/>
            <family val="3"/>
            <charset val="136"/>
          </rPr>
          <t>年化</t>
        </r>
        <r>
          <rPr>
            <sz val="11"/>
            <color indexed="81"/>
            <rFont val="Tahoma"/>
            <family val="2"/>
          </rPr>
          <t xml:space="preserve">% + QLD </t>
        </r>
        <r>
          <rPr>
            <sz val="11"/>
            <color indexed="81"/>
            <rFont val="細明體"/>
            <family val="3"/>
            <charset val="136"/>
          </rPr>
          <t>佔比</t>
        </r>
        <r>
          <rPr>
            <sz val="11"/>
            <color indexed="81"/>
            <rFont val="Tahoma"/>
            <family val="2"/>
          </rPr>
          <t xml:space="preserve"> * QLD </t>
        </r>
        <r>
          <rPr>
            <sz val="11"/>
            <color indexed="81"/>
            <rFont val="細明體"/>
            <family val="3"/>
            <charset val="136"/>
          </rPr>
          <t>年化</t>
        </r>
        <r>
          <rPr>
            <sz val="11"/>
            <color indexed="81"/>
            <rFont val="Tahoma"/>
            <family val="2"/>
          </rPr>
          <t xml:space="preserve">%
</t>
        </r>
      </text>
    </comment>
    <comment ref="B32" authorId="1" shapeId="0" xr:uid="{9BF530AE-BC92-42E8-B1EE-F270932248ED}">
      <text>
        <r>
          <rPr>
            <b/>
            <sz val="9"/>
            <color indexed="81"/>
            <rFont val="Tahoma"/>
            <family val="2"/>
          </rPr>
          <t>Huang. PC (TPE):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最終年度結餘。</t>
        </r>
      </text>
    </comment>
    <comment ref="B33" authorId="1" shapeId="0" xr:uid="{D7913ED2-C0C4-4E12-842F-D0F44CFCC45A}">
      <text>
        <r>
          <rPr>
            <b/>
            <sz val="9"/>
            <color indexed="81"/>
            <rFont val="Tahoma"/>
            <family val="2"/>
          </rPr>
          <t>Huang. PC (TPE):</t>
        </r>
        <r>
          <rPr>
            <sz val="9"/>
            <color indexed="81"/>
            <rFont val="Tahoma"/>
            <family val="2"/>
          </rPr>
          <t xml:space="preserve">
=</t>
        </r>
        <r>
          <rPr>
            <sz val="9"/>
            <color indexed="81"/>
            <rFont val="細明體"/>
            <family val="3"/>
            <charset val="136"/>
          </rPr>
          <t>最終結餘</t>
        </r>
        <r>
          <rPr>
            <sz val="9"/>
            <color indexed="81"/>
            <rFont val="Tahoma"/>
            <family val="2"/>
          </rPr>
          <t>+</t>
        </r>
        <r>
          <rPr>
            <sz val="9"/>
            <color indexed="81"/>
            <rFont val="細明體"/>
            <family val="3"/>
            <charset val="136"/>
          </rPr>
          <t>總提領</t>
        </r>
      </text>
    </comment>
    <comment ref="B34" authorId="0" shapeId="0" xr:uid="{00000000-0006-0000-0500-000030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 xml:space="preserve">最終資產為初期目標資產的倍數
</t>
        </r>
        <r>
          <rPr>
            <sz val="11"/>
            <color indexed="81"/>
            <rFont val="Tahoma"/>
            <family val="2"/>
          </rPr>
          <t xml:space="preserve">= </t>
        </r>
        <r>
          <rPr>
            <sz val="11"/>
            <color indexed="81"/>
            <rFont val="細明體"/>
            <family val="3"/>
            <charset val="136"/>
          </rPr>
          <t>最終資產</t>
        </r>
        <r>
          <rPr>
            <sz val="11"/>
            <color indexed="81"/>
            <rFont val="Tahoma"/>
            <family val="2"/>
          </rPr>
          <t xml:space="preserve">(H28) / </t>
        </r>
        <r>
          <rPr>
            <sz val="11"/>
            <color indexed="81"/>
            <rFont val="細明體"/>
            <family val="3"/>
            <charset val="136"/>
          </rPr>
          <t>投資資金</t>
        </r>
        <r>
          <rPr>
            <sz val="11"/>
            <color indexed="81"/>
            <rFont val="Tahoma"/>
            <family val="2"/>
          </rPr>
          <t>(C13)</t>
        </r>
      </text>
    </comment>
    <comment ref="B35" authorId="0" shapeId="0" xr:uid="{00000000-0006-0000-0500-000031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最終資產為初期目標資產的年化報酬率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扣除已提領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 xml:space="preserve">。
</t>
        </r>
        <r>
          <rPr>
            <sz val="11"/>
            <color indexed="81"/>
            <rFont val="Tahoma"/>
            <family val="2"/>
          </rPr>
          <t>=(H28/C13)^(1/C25)-1</t>
        </r>
      </text>
    </comment>
    <comment ref="B36" authorId="0" shapeId="0" xr:uid="{00000000-0006-0000-0500-000032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包含已提領之總年化報酬率。</t>
        </r>
      </text>
    </comment>
    <comment ref="B37" authorId="0" shapeId="0" xr:uid="{519A130A-6692-450E-BA11-CF61A9C0E802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包含已提領之總年化報酬率。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乘哥(PC)</author>
  </authors>
  <commentList>
    <comment ref="D2" authorId="0" shapeId="0" xr:uid="{00000000-0006-0000-0800-000001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距上次的漲幅</t>
        </r>
        <r>
          <rPr>
            <sz val="9"/>
            <color indexed="81"/>
            <rFont val="Tahoma"/>
            <family val="2"/>
          </rPr>
          <t>%</t>
        </r>
      </text>
    </comment>
    <comment ref="G2" authorId="0" shapeId="0" xr:uid="{00000000-0006-0000-0800-000002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調整後的跌幅比率</t>
        </r>
        <r>
          <rPr>
            <sz val="9"/>
            <color indexed="81"/>
            <rFont val="Tahoma"/>
            <family val="2"/>
          </rPr>
          <t>%</t>
        </r>
      </text>
    </comment>
    <comment ref="D9" authorId="0" shapeId="0" xr:uid="{00000000-0006-0000-0800-000003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距上次的漲幅</t>
        </r>
        <r>
          <rPr>
            <sz val="9"/>
            <color indexed="81"/>
            <rFont val="Tahoma"/>
            <family val="2"/>
          </rPr>
          <t>%</t>
        </r>
      </text>
    </comment>
    <comment ref="G9" authorId="0" shapeId="0" xr:uid="{00000000-0006-0000-0800-000004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調整後的跌幅比率</t>
        </r>
        <r>
          <rPr>
            <sz val="9"/>
            <color indexed="81"/>
            <rFont val="Tahoma"/>
            <family val="2"/>
          </rPr>
          <t>%</t>
        </r>
      </text>
    </comment>
    <comment ref="D16" authorId="0" shapeId="0" xr:uid="{00000000-0006-0000-0800-000005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距上次的漲幅</t>
        </r>
        <r>
          <rPr>
            <sz val="9"/>
            <color indexed="81"/>
            <rFont val="Tahoma"/>
            <family val="2"/>
          </rPr>
          <t>%</t>
        </r>
      </text>
    </comment>
    <comment ref="G16" authorId="0" shapeId="0" xr:uid="{00000000-0006-0000-0800-000006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調整後的跌幅比率</t>
        </r>
        <r>
          <rPr>
            <sz val="9"/>
            <color indexed="81"/>
            <rFont val="Tahoma"/>
            <family val="2"/>
          </rPr>
          <t>%</t>
        </r>
      </text>
    </comment>
  </commentList>
</comments>
</file>

<file path=xl/sharedStrings.xml><?xml version="1.0" encoding="utf-8"?>
<sst xmlns="http://schemas.openxmlformats.org/spreadsheetml/2006/main" count="498" uniqueCount="271">
  <si>
    <t>Date</t>
  </si>
  <si>
    <t>Open</t>
  </si>
  <si>
    <t>High</t>
  </si>
  <si>
    <t>Low</t>
  </si>
  <si>
    <t>QQQ</t>
    <phoneticPr fontId="2" type="noConversion"/>
  </si>
  <si>
    <t>QLD</t>
    <phoneticPr fontId="2" type="noConversion"/>
  </si>
  <si>
    <t>Dif%</t>
    <phoneticPr fontId="2" type="noConversion"/>
  </si>
  <si>
    <t>Close</t>
    <phoneticPr fontId="2" type="noConversion"/>
  </si>
  <si>
    <t>總投入</t>
    <phoneticPr fontId="2" type="noConversion"/>
  </si>
  <si>
    <t>投入均價</t>
    <phoneticPr fontId="2" type="noConversion"/>
  </si>
  <si>
    <t>現值</t>
    <phoneticPr fontId="2" type="noConversion"/>
  </si>
  <si>
    <t>股數</t>
    <phoneticPr fontId="2" type="noConversion"/>
  </si>
  <si>
    <t>成本</t>
    <phoneticPr fontId="2" type="noConversion"/>
  </si>
  <si>
    <t>總股數</t>
    <phoneticPr fontId="2" type="noConversion"/>
  </si>
  <si>
    <t>每月最高點</t>
    <phoneticPr fontId="2" type="noConversion"/>
  </si>
  <si>
    <t>每月最低點</t>
    <phoneticPr fontId="2" type="noConversion"/>
  </si>
  <si>
    <t>每年最高點</t>
    <phoneticPr fontId="2" type="noConversion"/>
  </si>
  <si>
    <t>每年最低點</t>
    <phoneticPr fontId="2" type="noConversion"/>
  </si>
  <si>
    <t>單位數</t>
    <phoneticPr fontId="2" type="noConversion"/>
  </si>
  <si>
    <t>4800</t>
    <phoneticPr fontId="2" type="noConversion"/>
  </si>
  <si>
    <t>8</t>
    <phoneticPr fontId="2" type="noConversion"/>
  </si>
  <si>
    <t>7</t>
    <phoneticPr fontId="2" type="noConversion"/>
  </si>
  <si>
    <t>11</t>
    <phoneticPr fontId="2" type="noConversion"/>
  </si>
  <si>
    <t>年</t>
  </si>
  <si>
    <t>開盤價</t>
    <phoneticPr fontId="6" type="noConversion"/>
  </si>
  <si>
    <t>收盤價</t>
    <phoneticPr fontId="6" type="noConversion"/>
  </si>
  <si>
    <t>設定值</t>
    <phoneticPr fontId="6" type="noConversion"/>
  </si>
  <si>
    <t>QQQ
回報率</t>
    <phoneticPr fontId="6" type="noConversion"/>
  </si>
  <si>
    <t>緊急預備金</t>
    <phoneticPr fontId="6" type="noConversion"/>
  </si>
  <si>
    <t>目標倍數</t>
    <phoneticPr fontId="6" type="noConversion"/>
  </si>
  <si>
    <t>結餘</t>
    <phoneticPr fontId="2" type="noConversion"/>
  </si>
  <si>
    <t>提撥</t>
    <phoneticPr fontId="2" type="noConversion"/>
  </si>
  <si>
    <t>Year</t>
    <phoneticPr fontId="2" type="noConversion"/>
  </si>
  <si>
    <t>Date</t>
    <phoneticPr fontId="2" type="noConversion"/>
  </si>
  <si>
    <t>生活準備金</t>
    <phoneticPr fontId="6" type="noConversion"/>
  </si>
  <si>
    <t>配置</t>
    <phoneticPr fontId="6" type="noConversion"/>
  </si>
  <si>
    <t>群組</t>
    <phoneticPr fontId="6" type="noConversion"/>
  </si>
  <si>
    <t>年生活費</t>
    <phoneticPr fontId="6" type="noConversion"/>
  </si>
  <si>
    <t>月勞退金</t>
    <phoneticPr fontId="6" type="noConversion"/>
  </si>
  <si>
    <t>月生活費</t>
    <phoneticPr fontId="6" type="noConversion"/>
  </si>
  <si>
    <t>CASH</t>
    <phoneticPr fontId="6" type="noConversion"/>
  </si>
  <si>
    <t>QQQ(%)</t>
    <phoneticPr fontId="6" type="noConversion"/>
  </si>
  <si>
    <t>QLD(%)</t>
    <phoneticPr fontId="6" type="noConversion"/>
  </si>
  <si>
    <t>CASH(%)</t>
    <phoneticPr fontId="6" type="noConversion"/>
  </si>
  <si>
    <t>年化報酬</t>
    <phoneticPr fontId="6" type="noConversion"/>
  </si>
  <si>
    <t>投入年度</t>
    <phoneticPr fontId="6" type="noConversion"/>
  </si>
  <si>
    <t>質押利率(%)</t>
    <phoneticPr fontId="6" type="noConversion"/>
  </si>
  <si>
    <t>貝塔值</t>
    <phoneticPr fontId="6" type="noConversion"/>
  </si>
  <si>
    <t>維持率</t>
    <phoneticPr fontId="6" type="noConversion"/>
  </si>
  <si>
    <t>提領</t>
    <phoneticPr fontId="6" type="noConversion"/>
  </si>
  <si>
    <t>質押提領</t>
    <phoneticPr fontId="6" type="noConversion"/>
  </si>
  <si>
    <t>通膨%</t>
    <phoneticPr fontId="6" type="noConversion"/>
  </si>
  <si>
    <t>市值</t>
    <phoneticPr fontId="6" type="noConversion"/>
  </si>
  <si>
    <t>利息</t>
    <phoneticPr fontId="6" type="noConversion"/>
  </si>
  <si>
    <t>再平衡</t>
    <phoneticPr fontId="2" type="noConversion"/>
  </si>
  <si>
    <t>市值</t>
    <phoneticPr fontId="2" type="noConversion"/>
  </si>
  <si>
    <t>累計</t>
    <phoneticPr fontId="6" type="noConversion"/>
  </si>
  <si>
    <t>年度結算</t>
    <phoneticPr fontId="6" type="noConversion"/>
  </si>
  <si>
    <t>年化報酬%</t>
    <phoneticPr fontId="6" type="noConversion"/>
  </si>
  <si>
    <t>結餘倍數</t>
    <phoneticPr fontId="6" type="noConversion"/>
  </si>
  <si>
    <t>配置年化(%)</t>
    <phoneticPr fontId="6" type="noConversion"/>
  </si>
  <si>
    <t>結餘年化(%)</t>
    <phoneticPr fontId="6" type="noConversion"/>
  </si>
  <si>
    <t>總年化(%)</t>
    <phoneticPr fontId="6" type="noConversion"/>
  </si>
  <si>
    <t>質押維持率</t>
    <phoneticPr fontId="6" type="noConversion"/>
  </si>
  <si>
    <t>①質押</t>
    <phoneticPr fontId="6" type="noConversion"/>
  </si>
  <si>
    <t>②QQQ</t>
    <phoneticPr fontId="6" type="noConversion"/>
  </si>
  <si>
    <t>③QLD</t>
    <phoneticPr fontId="6" type="noConversion"/>
  </si>
  <si>
    <t>④現金</t>
    <phoneticPr fontId="6" type="noConversion"/>
  </si>
  <si>
    <t>⑤再平衡</t>
    <phoneticPr fontId="6" type="noConversion"/>
  </si>
  <si>
    <t>高檔調節</t>
    <phoneticPr fontId="14" type="noConversion"/>
  </si>
  <si>
    <t>低檔調節</t>
    <phoneticPr fontId="14" type="noConversion"/>
  </si>
  <si>
    <t>回檔</t>
    <phoneticPr fontId="14" type="noConversion"/>
  </si>
  <si>
    <t>續效</t>
    <phoneticPr fontId="14" type="noConversion"/>
  </si>
  <si>
    <t>調後</t>
    <phoneticPr fontId="14" type="noConversion"/>
  </si>
  <si>
    <t>00662</t>
    <phoneticPr fontId="2" type="noConversion"/>
  </si>
  <si>
    <t>00670L</t>
    <phoneticPr fontId="2" type="noConversion"/>
  </si>
  <si>
    <t>合計</t>
    <phoneticPr fontId="2" type="noConversion"/>
  </si>
  <si>
    <t>項目</t>
    <phoneticPr fontId="2" type="noConversion"/>
  </si>
  <si>
    <t>比率</t>
    <phoneticPr fontId="2" type="noConversion"/>
  </si>
  <si>
    <t>金額</t>
    <phoneticPr fontId="2" type="noConversion"/>
  </si>
  <si>
    <t>提領率%</t>
    <phoneticPr fontId="6" type="noConversion"/>
  </si>
  <si>
    <t>上漲平衡%</t>
    <phoneticPr fontId="6" type="noConversion"/>
  </si>
  <si>
    <t>下跌平𧗾金</t>
    <phoneticPr fontId="6" type="noConversion"/>
  </si>
  <si>
    <t>是</t>
  </si>
  <si>
    <t>投資資金</t>
    <phoneticPr fontId="6" type="noConversion"/>
  </si>
  <si>
    <t>①質押</t>
  </si>
  <si>
    <t>質押利率(%)</t>
  </si>
  <si>
    <t>質押維持率</t>
  </si>
  <si>
    <t>②QQQ</t>
  </si>
  <si>
    <t>③QLD</t>
  </si>
  <si>
    <t>④現金</t>
  </si>
  <si>
    <t>⑤再平衡</t>
  </si>
  <si>
    <t>總年化(%)</t>
  </si>
  <si>
    <t>結餘倍數</t>
  </si>
  <si>
    <t>否</t>
    <phoneticPr fontId="2" type="noConversion"/>
  </si>
  <si>
    <t>結餘年化(%)</t>
  </si>
  <si>
    <t>案例</t>
    <phoneticPr fontId="2" type="noConversion"/>
  </si>
  <si>
    <t>CASH</t>
    <phoneticPr fontId="2" type="noConversion"/>
  </si>
  <si>
    <t>項目
(顏色說明)</t>
    <phoneticPr fontId="6" type="noConversion"/>
  </si>
  <si>
    <t>月淨提領</t>
    <phoneticPr fontId="6" type="noConversion"/>
  </si>
  <si>
    <t>年淨提領</t>
    <phoneticPr fontId="6" type="noConversion"/>
  </si>
  <si>
    <t>4-1</t>
    <phoneticPr fontId="2" type="noConversion"/>
  </si>
  <si>
    <t>5-1</t>
    <phoneticPr fontId="2" type="noConversion"/>
  </si>
  <si>
    <t>是</t>
    <phoneticPr fontId="2" type="noConversion"/>
  </si>
  <si>
    <t>漲跌%</t>
    <phoneticPr fontId="2" type="noConversion"/>
  </si>
  <si>
    <t>收盤價</t>
    <phoneticPr fontId="2" type="noConversion"/>
  </si>
  <si>
    <t>再平衡</t>
  </si>
  <si>
    <t>退休無收入</t>
    <phoneticPr fontId="2" type="noConversion"/>
  </si>
  <si>
    <t>月收入</t>
    <phoneticPr fontId="6" type="noConversion"/>
  </si>
  <si>
    <t>貝它值</t>
    <phoneticPr fontId="2" type="noConversion"/>
  </si>
  <si>
    <t>目前年齡</t>
    <phoneticPr fontId="6" type="noConversion"/>
  </si>
  <si>
    <t>目前年生活費</t>
  </si>
  <si>
    <t>退休年生活費</t>
    <phoneticPr fontId="6" type="noConversion"/>
  </si>
  <si>
    <t>退休準備金</t>
    <phoneticPr fontId="6" type="noConversion"/>
  </si>
  <si>
    <t>年化報酬%</t>
    <phoneticPr fontId="2" type="noConversion"/>
  </si>
  <si>
    <t>目標資金</t>
    <phoneticPr fontId="6" type="noConversion"/>
  </si>
  <si>
    <t>有收入(不提領)</t>
    <phoneticPr fontId="2" type="noConversion"/>
  </si>
  <si>
    <t>Close</t>
  </si>
  <si>
    <t>Dif%</t>
  </si>
  <si>
    <t>單筆投入</t>
    <phoneticPr fontId="2" type="noConversion"/>
  </si>
  <si>
    <t>每月
最高點</t>
    <phoneticPr fontId="2" type="noConversion"/>
  </si>
  <si>
    <t>每月
最低點</t>
    <phoneticPr fontId="2" type="noConversion"/>
  </si>
  <si>
    <t>每年
最高點</t>
    <phoneticPr fontId="2" type="noConversion"/>
  </si>
  <si>
    <t>每年
最低點</t>
    <phoneticPr fontId="2" type="noConversion"/>
  </si>
  <si>
    <t>定期
(月初)</t>
    <phoneticPr fontId="2" type="noConversion"/>
  </si>
  <si>
    <t>單筆
投入</t>
    <phoneticPr fontId="2" type="noConversion"/>
  </si>
  <si>
    <t>投入金額</t>
    <phoneticPr fontId="2" type="noConversion"/>
  </si>
  <si>
    <t>定期(月初)</t>
    <phoneticPr fontId="2" type="noConversion"/>
  </si>
  <si>
    <t>總損益</t>
    <phoneticPr fontId="2" type="noConversion"/>
  </si>
  <si>
    <t>總損益%</t>
    <phoneticPr fontId="2" type="noConversion"/>
  </si>
  <si>
    <t>~</t>
    <phoneticPr fontId="2" type="noConversion"/>
  </si>
  <si>
    <t>期初</t>
    <phoneticPr fontId="6" type="noConversion"/>
  </si>
  <si>
    <t>CLEC 一~七狀況回測</t>
    <phoneticPr fontId="2" type="noConversion"/>
  </si>
  <si>
    <t>A.1</t>
  </si>
  <si>
    <t>A.2</t>
  </si>
  <si>
    <t>A.3</t>
  </si>
  <si>
    <t>A.4</t>
  </si>
  <si>
    <t>A.5</t>
  </si>
  <si>
    <t>A.6</t>
  </si>
  <si>
    <t>B.1</t>
  </si>
  <si>
    <t>B.2</t>
  </si>
  <si>
    <t>B.3</t>
  </si>
  <si>
    <t>B.4</t>
  </si>
  <si>
    <t>C.1</t>
  </si>
  <si>
    <t>C.2</t>
  </si>
  <si>
    <t>C.3</t>
  </si>
  <si>
    <t>C.4</t>
  </si>
  <si>
    <t>C.5</t>
  </si>
  <si>
    <t>C.6</t>
  </si>
  <si>
    <t>C.7</t>
  </si>
  <si>
    <t>C.8</t>
  </si>
  <si>
    <t>C.9</t>
  </si>
  <si>
    <t>C.10</t>
  </si>
  <si>
    <t>B.5</t>
  </si>
  <si>
    <t>B.6</t>
  </si>
  <si>
    <t>保守操作者</t>
    <phoneticPr fontId="2" type="noConversion"/>
  </si>
  <si>
    <t>X.1</t>
    <phoneticPr fontId="2" type="noConversion"/>
  </si>
  <si>
    <t>X.2</t>
    <phoneticPr fontId="2" type="noConversion"/>
  </si>
  <si>
    <t>X.3</t>
    <phoneticPr fontId="2" type="noConversion"/>
  </si>
  <si>
    <t>數值(萬)</t>
    <phoneticPr fontId="2" type="noConversion"/>
  </si>
  <si>
    <t>備註</t>
    <phoneticPr fontId="2" type="noConversion"/>
  </si>
  <si>
    <t>期數</t>
    <phoneticPr fontId="2" type="noConversion"/>
  </si>
  <si>
    <t>本金結餘</t>
    <phoneticPr fontId="2" type="noConversion"/>
  </si>
  <si>
    <t>本金</t>
    <phoneticPr fontId="2" type="noConversion"/>
  </si>
  <si>
    <t>利息</t>
    <phoneticPr fontId="2" type="noConversion"/>
  </si>
  <si>
    <t>本息繳納</t>
    <phoneticPr fontId="2" type="noConversion"/>
  </si>
  <si>
    <t>房屋總價</t>
    <phoneticPr fontId="2" type="noConversion"/>
  </si>
  <si>
    <t>貸款成數</t>
    <phoneticPr fontId="2" type="noConversion"/>
  </si>
  <si>
    <t>房貸總額</t>
    <phoneticPr fontId="2" type="noConversion"/>
  </si>
  <si>
    <t>=房屋總價 - 貸款成數</t>
    <phoneticPr fontId="2" type="noConversion"/>
  </si>
  <si>
    <t>自備款</t>
    <phoneticPr fontId="2" type="noConversion"/>
  </si>
  <si>
    <t>=房屋總價 - 房貸總額</t>
    <phoneticPr fontId="2" type="noConversion"/>
  </si>
  <si>
    <t>房貸年限</t>
    <phoneticPr fontId="2" type="noConversion"/>
  </si>
  <si>
    <t>房貸利率</t>
    <phoneticPr fontId="2" type="noConversion"/>
  </si>
  <si>
    <t>本息平均攤還(每月)</t>
    <phoneticPr fontId="2" type="noConversion"/>
  </si>
  <si>
    <t>房貸計算器</t>
    <phoneticPr fontId="2" type="noConversion"/>
  </si>
  <si>
    <t>總利息</t>
    <phoneticPr fontId="2" type="noConversion"/>
  </si>
  <si>
    <t>每期利息加總(=H1)</t>
    <phoneticPr fontId="2" type="noConversion"/>
  </si>
  <si>
    <t>息佔比(%)</t>
    <phoneticPr fontId="2" type="noConversion"/>
  </si>
  <si>
    <t>=總利息/房貸總額</t>
    <phoneticPr fontId="2" type="noConversion"/>
  </si>
  <si>
    <t>本息合計</t>
    <phoneticPr fontId="2" type="noConversion"/>
  </si>
  <si>
    <t>每期本息加總(=I1)</t>
    <phoneticPr fontId="2" type="noConversion"/>
  </si>
  <si>
    <t>=自備款+本息合計</t>
    <phoneticPr fontId="2" type="noConversion"/>
  </si>
  <si>
    <t>房價成長率</t>
    <phoneticPr fontId="2" type="noConversion"/>
  </si>
  <si>
    <t>台灣增值扣除稅額約 5%(可修改)</t>
    <phoneticPr fontId="2" type="noConversion"/>
  </si>
  <si>
    <t>最終淨資產</t>
    <phoneticPr fontId="2" type="noConversion"/>
  </si>
  <si>
    <t>年化報酬(%)</t>
    <phoneticPr fontId="2" type="noConversion"/>
  </si>
  <si>
    <t xml:space="preserve">假設條件
1. 所有的費用都不計；
    a. 管理費(承租人繳)。
    b. 水、電、瓦斯、電話(自住與租房都需要)。
    c. 房屋修繕費(屋主負責)。
    d. 其他費用。
2. 房屋成長年化報酬5%。
    a. 台灣房屋稅為1.2%；
    b. 台灣房貸利率約2%；
    c. 台灣房價指數長成率年化約7.26%。
</t>
    <phoneticPr fontId="2" type="noConversion"/>
  </si>
  <si>
    <t>設定值</t>
    <phoneticPr fontId="2" type="noConversion"/>
  </si>
  <si>
    <t>年數</t>
    <phoneticPr fontId="2" type="noConversion"/>
  </si>
  <si>
    <t>房租</t>
    <phoneticPr fontId="2" type="noConversion"/>
  </si>
  <si>
    <t>投資</t>
    <phoneticPr fontId="6" type="noConversion"/>
  </si>
  <si>
    <t>年未</t>
    <phoneticPr fontId="6" type="noConversion"/>
  </si>
  <si>
    <t>房價
租金比</t>
    <phoneticPr fontId="2" type="noConversion"/>
  </si>
  <si>
    <t>房價</t>
    <phoneticPr fontId="2" type="noConversion"/>
  </si>
  <si>
    <t>租金
(年)</t>
    <phoneticPr fontId="2" type="noConversion"/>
  </si>
  <si>
    <t>租金
(月)</t>
    <phoneticPr fontId="2" type="noConversion"/>
  </si>
  <si>
    <t>房貸
(月)</t>
    <phoneticPr fontId="2" type="noConversion"/>
  </si>
  <si>
    <t>租貸比</t>
    <phoneticPr fontId="2" type="noConversion"/>
  </si>
  <si>
    <t>條件</t>
    <phoneticPr fontId="6" type="noConversion"/>
  </si>
  <si>
    <t>通膨</t>
    <phoneticPr fontId="2" type="noConversion"/>
  </si>
  <si>
    <t>台灣近十年2~3%</t>
    <phoneticPr fontId="2" type="noConversion"/>
  </si>
  <si>
    <t>以房貸年度做投資</t>
    <phoneticPr fontId="2" type="noConversion"/>
  </si>
  <si>
    <t>租房</t>
    <phoneticPr fontId="2" type="noConversion"/>
  </si>
  <si>
    <t>租金(每月)</t>
    <phoneticPr fontId="2" type="noConversion"/>
  </si>
  <si>
    <t>初啟房租租金</t>
    <phoneticPr fontId="2" type="noConversion"/>
  </si>
  <si>
    <t>租金(每年)</t>
    <phoneticPr fontId="2" type="noConversion"/>
  </si>
  <si>
    <t>=租金(每月) * 12</t>
    <phoneticPr fontId="2" type="noConversion"/>
  </si>
  <si>
    <t>總租金(含通膨)</t>
    <phoneticPr fontId="2" type="noConversion"/>
  </si>
  <si>
    <t>加總每年之房租租金</t>
    <phoneticPr fontId="2" type="noConversion"/>
  </si>
  <si>
    <t>投資</t>
    <phoneticPr fontId="2" type="noConversion"/>
  </si>
  <si>
    <t>初期投入</t>
    <phoneticPr fontId="2" type="noConversion"/>
  </si>
  <si>
    <t>自備款做為初期投入</t>
    <phoneticPr fontId="2" type="noConversion"/>
  </si>
  <si>
    <t>每月投入</t>
    <phoneticPr fontId="2" type="noConversion"/>
  </si>
  <si>
    <t>與買房同總額扣除總租金後每月投入額</t>
    <phoneticPr fontId="2" type="noConversion"/>
  </si>
  <si>
    <t>投報率</t>
    <phoneticPr fontId="2" type="noConversion"/>
  </si>
  <si>
    <t>設定 00662 的年化報酬%</t>
    <phoneticPr fontId="2" type="noConversion"/>
  </si>
  <si>
    <t>投資總額</t>
    <phoneticPr fontId="2" type="noConversion"/>
  </si>
  <si>
    <t>投入到期資產</t>
    <phoneticPr fontId="2" type="noConversion"/>
  </si>
  <si>
    <t>總結</t>
    <phoneticPr fontId="6" type="noConversion"/>
  </si>
  <si>
    <t>淨投入</t>
    <phoneticPr fontId="6" type="noConversion"/>
  </si>
  <si>
    <t>=總租金+投資總額</t>
    <phoneticPr fontId="2" type="noConversion"/>
  </si>
  <si>
    <t>淨資產</t>
    <phoneticPr fontId="2" type="noConversion"/>
  </si>
  <si>
    <t>假設條件
1. 每年房租漲2% (台灣近十年通膨率約為2~3%)；
2. 00662年化報酬 14%。</t>
    <phoneticPr fontId="2" type="noConversion"/>
  </si>
  <si>
    <t>否</t>
  </si>
  <si>
    <t>暴倉</t>
    <phoneticPr fontId="6" type="noConversion"/>
  </si>
  <si>
    <t>⑥是否提領</t>
    <phoneticPr fontId="6" type="noConversion"/>
  </si>
  <si>
    <t>是</t>
    <phoneticPr fontId="2" type="noConversion"/>
  </si>
  <si>
    <t>⑥是否提領</t>
    <phoneticPr fontId="2" type="noConversion"/>
  </si>
  <si>
    <t>收入再投入(年)</t>
    <phoneticPr fontId="6" type="noConversion"/>
  </si>
  <si>
    <t>目標投資資金</t>
    <phoneticPr fontId="6" type="noConversion"/>
  </si>
  <si>
    <t>保留生活費月數</t>
    <phoneticPr fontId="6" type="noConversion"/>
  </si>
  <si>
    <t>保留生活費年數</t>
    <phoneticPr fontId="6" type="noConversion"/>
  </si>
  <si>
    <t>距目標差異</t>
    <phoneticPr fontId="6" type="noConversion"/>
  </si>
  <si>
    <t>何時可退休</t>
    <phoneticPr fontId="6" type="noConversion"/>
  </si>
  <si>
    <t>計畫何時退休(年齡)</t>
    <phoneticPr fontId="6" type="noConversion"/>
  </si>
  <si>
    <t>計畫何時退休(年度)</t>
    <phoneticPr fontId="6" type="noConversion"/>
  </si>
  <si>
    <t>生活費</t>
    <phoneticPr fontId="6" type="noConversion"/>
  </si>
  <si>
    <t>基本資訊</t>
    <phoneticPr fontId="6" type="noConversion"/>
  </si>
  <si>
    <t>出生年度</t>
    <phoneticPr fontId="6" type="noConversion"/>
  </si>
  <si>
    <t>可再投入年數</t>
    <phoneticPr fontId="6" type="noConversion"/>
  </si>
  <si>
    <t>退休前資產</t>
    <phoneticPr fontId="6" type="noConversion"/>
  </si>
  <si>
    <t>目標應有總資產</t>
    <phoneticPr fontId="6" type="noConversion"/>
  </si>
  <si>
    <t>訊息</t>
    <phoneticPr fontId="6" type="noConversion"/>
  </si>
  <si>
    <t>回測年度</t>
    <phoneticPr fontId="6" type="noConversion"/>
  </si>
  <si>
    <t>累積總報酬%</t>
    <phoneticPr fontId="6" type="noConversion"/>
  </si>
  <si>
    <t>保留總生活費(工作)</t>
    <phoneticPr fontId="6" type="noConversion"/>
  </si>
  <si>
    <t>保留總生活費(退休)</t>
    <phoneticPr fontId="6" type="noConversion"/>
  </si>
  <si>
    <t>歷史報酬</t>
    <phoneticPr fontId="6" type="noConversion"/>
  </si>
  <si>
    <t>投入總資金</t>
    <phoneticPr fontId="6" type="noConversion"/>
  </si>
  <si>
    <t>已投入資金</t>
    <phoneticPr fontId="6" type="noConversion"/>
  </si>
  <si>
    <t>期末總資產</t>
    <phoneticPr fontId="6" type="noConversion"/>
  </si>
  <si>
    <t>資產配置貝他值</t>
    <phoneticPr fontId="6" type="noConversion"/>
  </si>
  <si>
    <t>結餘年化報酬%</t>
    <phoneticPr fontId="6" type="noConversion"/>
  </si>
  <si>
    <t>回測</t>
    <phoneticPr fontId="6" type="noConversion"/>
  </si>
  <si>
    <t>結餘累積總報酬%</t>
    <phoneticPr fontId="6" type="noConversion"/>
  </si>
  <si>
    <t>總提領</t>
    <phoneticPr fontId="6" type="noConversion"/>
  </si>
  <si>
    <t>最終結餘</t>
    <phoneticPr fontId="6" type="noConversion"/>
  </si>
  <si>
    <t>含領結餘</t>
    <phoneticPr fontId="6" type="noConversion"/>
  </si>
  <si>
    <t>年結餘</t>
    <phoneticPr fontId="2" type="noConversion"/>
  </si>
  <si>
    <t>A.7</t>
  </si>
  <si>
    <t>A.8</t>
  </si>
  <si>
    <t>A.9</t>
  </si>
  <si>
    <t>無法正常 65 歲退休，需調整參數！</t>
  </si>
  <si>
    <t>T3</t>
  </si>
  <si>
    <t>T4</t>
  </si>
  <si>
    <t>T5</t>
  </si>
  <si>
    <t>T6</t>
  </si>
  <si>
    <t>臨時回測</t>
    <phoneticPr fontId="2" type="noConversion"/>
  </si>
  <si>
    <t>T1</t>
    <phoneticPr fontId="2" type="noConversion"/>
  </si>
  <si>
    <t>T2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</si>
</sst>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4" formatCode="_-&quot;$&quot;* #,##0.00_-;\-&quot;$&quot;* #,##0.00_-;_-&quot;$&quot;* &quot;-&quot;??_-;_-@_-"/>
    <numFmt numFmtId="43" formatCode="_-* #,##0.00_-;\-* #,##0.00_-;_-* &quot;-&quot;??_-;_-@_-"/>
    <numFmt numFmtId="176" formatCode="_-* #,##0_-;\-* #,##0_-;_-* &quot;-&quot;??_-;_-@_-"/>
    <numFmt numFmtId="177" formatCode="#,##0\ &quot;萬&quot;"/>
    <numFmt numFmtId="178" formatCode="#,##0\ &quot;歲&quot;"/>
    <numFmt numFmtId="179" formatCode="0_);[Red]\(0\)"/>
    <numFmt numFmtId="180" formatCode="yyyy/mm/dd"/>
    <numFmt numFmtId="181" formatCode="####"/>
    <numFmt numFmtId="182" formatCode="#,##0.00\ &quot;萬&quot;"/>
    <numFmt numFmtId="183" formatCode="###,##0.00%"/>
    <numFmt numFmtId="184" formatCode="yyyy\'\ mm"/>
    <numFmt numFmtId="185" formatCode="#0.00&quot; 年&quot;"/>
    <numFmt numFmtId="186" formatCode="&quot;年生活費&quot;\ #0\ &quot;萬&quot;"/>
    <numFmt numFmtId="187" formatCode="#0\ &quot;月&quot;"/>
    <numFmt numFmtId="188" formatCode="#0\ &quot;年&quot;"/>
    <numFmt numFmtId="189" formatCode="#,##0\ &quot;年&quot;"/>
    <numFmt numFmtId="190" formatCode="0.0%"/>
  </numFmts>
  <fonts count="31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indexed="8"/>
      <name val="Calibri"/>
      <family val="2"/>
    </font>
    <font>
      <sz val="9"/>
      <name val="細明體"/>
      <family val="3"/>
      <charset val="136"/>
    </font>
    <font>
      <sz val="12"/>
      <color indexed="8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細明體"/>
      <family val="3"/>
      <charset val="136"/>
    </font>
    <font>
      <sz val="9"/>
      <color indexed="81"/>
      <name val="細明體"/>
      <family val="3"/>
      <charset val="136"/>
    </font>
    <font>
      <sz val="12"/>
      <color theme="1"/>
      <name val="新細明體"/>
      <family val="2"/>
      <charset val="136"/>
    </font>
    <font>
      <sz val="9"/>
      <name val="新細明體"/>
      <family val="2"/>
      <charset val="136"/>
    </font>
    <font>
      <sz val="11"/>
      <color indexed="81"/>
      <name val="細明體"/>
      <family val="3"/>
      <charset val="136"/>
    </font>
    <font>
      <sz val="11"/>
      <color indexed="81"/>
      <name val="Tahoma"/>
      <family val="2"/>
    </font>
    <font>
      <b/>
      <sz val="11"/>
      <color indexed="81"/>
      <name val="細明體"/>
      <family val="3"/>
      <charset val="136"/>
    </font>
    <font>
      <b/>
      <sz val="11"/>
      <color indexed="81"/>
      <name val="Tahoma"/>
      <family val="2"/>
    </font>
    <font>
      <sz val="10"/>
      <color indexed="81"/>
      <name val="細明體"/>
      <family val="3"/>
      <charset val="136"/>
    </font>
    <font>
      <sz val="10"/>
      <color indexed="81"/>
      <name val="Tahoma"/>
      <family val="2"/>
    </font>
    <font>
      <b/>
      <sz val="10"/>
      <color indexed="81"/>
      <name val="細明體"/>
      <family val="3"/>
      <charset val="136"/>
    </font>
    <font>
      <b/>
      <sz val="10"/>
      <color indexed="81"/>
      <name val="Tahoma"/>
      <family val="2"/>
    </font>
    <font>
      <sz val="12"/>
      <name val="新細明體"/>
      <family val="1"/>
      <charset val="136"/>
      <scheme val="minor"/>
    </font>
    <font>
      <b/>
      <sz val="12"/>
      <color rgb="FFFF0000"/>
      <name val="新細明體"/>
      <family val="1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12"/>
      <color rgb="FF000000"/>
      <name val="新細明體"/>
      <family val="1"/>
      <charset val="136"/>
    </font>
    <font>
      <sz val="12"/>
      <color rgb="FFFF0000"/>
      <name val="新細明體"/>
      <family val="1"/>
      <charset val="136"/>
      <scheme val="minor"/>
    </font>
    <font>
      <sz val="10"/>
      <color rgb="FF000000"/>
      <name val="新細明體"/>
      <family val="1"/>
      <charset val="136"/>
    </font>
    <font>
      <sz val="10"/>
      <color indexed="8"/>
      <name val="新細明體"/>
      <family val="1"/>
      <charset val="136"/>
      <scheme val="minor"/>
    </font>
    <font>
      <sz val="9"/>
      <color indexed="8"/>
      <name val="新細明體"/>
      <family val="1"/>
      <charset val="136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1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5" fillId="0" borderId="0" applyNumberFormat="0" applyFill="0" applyBorder="0" applyProtection="0"/>
    <xf numFmtId="9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313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176" fontId="0" fillId="2" borderId="1" xfId="1" applyNumberFormat="1" applyFont="1" applyFill="1" applyBorder="1" applyAlignment="1" applyProtection="1">
      <alignment horizontal="center" vertical="center"/>
      <protection hidden="1"/>
    </xf>
    <xf numFmtId="43" fontId="0" fillId="2" borderId="1" xfId="1" applyFont="1" applyFill="1" applyBorder="1" applyAlignment="1" applyProtection="1">
      <alignment horizontal="center" vertical="center"/>
      <protection hidden="1"/>
    </xf>
    <xf numFmtId="179" fontId="7" fillId="12" borderId="1" xfId="3" applyNumberFormat="1" applyFont="1" applyFill="1" applyBorder="1" applyAlignment="1" applyProtection="1">
      <alignment horizontal="left" vertical="center"/>
      <protection hidden="1"/>
    </xf>
    <xf numFmtId="181" fontId="0" fillId="5" borderId="1" xfId="0" applyNumberFormat="1" applyFill="1" applyBorder="1" applyProtection="1">
      <alignment vertical="center"/>
      <protection hidden="1"/>
    </xf>
    <xf numFmtId="43" fontId="0" fillId="14" borderId="1" xfId="1" applyFont="1" applyFill="1" applyBorder="1" applyProtection="1">
      <alignment vertical="center"/>
      <protection hidden="1"/>
    </xf>
    <xf numFmtId="10" fontId="0" fillId="3" borderId="1" xfId="2" applyNumberFormat="1" applyFont="1" applyFill="1" applyBorder="1" applyProtection="1">
      <alignment vertical="center"/>
      <protection hidden="1"/>
    </xf>
    <xf numFmtId="43" fontId="0" fillId="3" borderId="1" xfId="1" applyFont="1" applyFill="1" applyBorder="1" applyProtection="1">
      <alignment vertical="center"/>
      <protection hidden="1"/>
    </xf>
    <xf numFmtId="176" fontId="0" fillId="3" borderId="1" xfId="1" applyNumberFormat="1" applyFont="1" applyFill="1" applyBorder="1" applyProtection="1">
      <alignment vertical="center"/>
      <protection hidden="1"/>
    </xf>
    <xf numFmtId="0" fontId="0" fillId="3" borderId="1" xfId="0" applyFill="1" applyBorder="1" applyProtection="1">
      <alignment vertical="center"/>
      <protection hidden="1"/>
    </xf>
    <xf numFmtId="43" fontId="0" fillId="4" borderId="1" xfId="1" applyFont="1" applyFill="1" applyBorder="1" applyProtection="1">
      <alignment vertical="center"/>
      <protection hidden="1"/>
    </xf>
    <xf numFmtId="43" fontId="0" fillId="3" borderId="1" xfId="0" applyNumberFormat="1" applyFill="1" applyBorder="1" applyProtection="1">
      <alignment vertical="center"/>
      <protection hidden="1"/>
    </xf>
    <xf numFmtId="49" fontId="0" fillId="4" borderId="1" xfId="0" applyNumberFormat="1" applyFill="1" applyBorder="1" applyAlignment="1" applyProtection="1">
      <alignment horizontal="right" vertical="center"/>
      <protection locked="0"/>
    </xf>
    <xf numFmtId="0" fontId="13" fillId="0" borderId="0" xfId="8">
      <alignment vertical="center"/>
    </xf>
    <xf numFmtId="9" fontId="0" fillId="16" borderId="1" xfId="7" applyFont="1" applyFill="1" applyBorder="1" applyAlignment="1">
      <alignment horizontal="center" vertical="center"/>
    </xf>
    <xf numFmtId="176" fontId="13" fillId="16" borderId="1" xfId="8" applyNumberFormat="1" applyFill="1" applyBorder="1">
      <alignment vertical="center"/>
    </xf>
    <xf numFmtId="9" fontId="0" fillId="16" borderId="1" xfId="7" applyFont="1" applyFill="1" applyBorder="1">
      <alignment vertical="center"/>
    </xf>
    <xf numFmtId="176" fontId="0" fillId="16" borderId="1" xfId="9" applyNumberFormat="1" applyFont="1" applyFill="1" applyBorder="1">
      <alignment vertical="center"/>
    </xf>
    <xf numFmtId="9" fontId="0" fillId="0" borderId="0" xfId="7" applyFont="1">
      <alignment vertical="center"/>
    </xf>
    <xf numFmtId="176" fontId="0" fillId="0" borderId="0" xfId="9" applyNumberFormat="1" applyFont="1">
      <alignment vertical="center"/>
    </xf>
    <xf numFmtId="9" fontId="0" fillId="3" borderId="1" xfId="7" applyFont="1" applyFill="1" applyBorder="1">
      <alignment vertical="center"/>
    </xf>
    <xf numFmtId="10" fontId="0" fillId="16" borderId="1" xfId="7" applyNumberFormat="1" applyFont="1" applyFill="1" applyBorder="1" applyAlignment="1">
      <alignment vertical="center"/>
    </xf>
    <xf numFmtId="176" fontId="0" fillId="16" borderId="1" xfId="7" applyNumberFormat="1" applyFont="1" applyFill="1" applyBorder="1" applyAlignment="1">
      <alignment vertical="center"/>
    </xf>
    <xf numFmtId="0" fontId="13" fillId="2" borderId="1" xfId="8" applyFill="1" applyBorder="1" applyAlignment="1">
      <alignment horizontal="center" vertical="center"/>
    </xf>
    <xf numFmtId="49" fontId="0" fillId="5" borderId="1" xfId="7" applyNumberFormat="1" applyFont="1" applyFill="1" applyBorder="1" applyAlignment="1">
      <alignment vertical="center"/>
    </xf>
    <xf numFmtId="0" fontId="1" fillId="5" borderId="1" xfId="8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4" borderId="1" xfId="0" applyFill="1" applyBorder="1">
      <alignment vertical="center"/>
    </xf>
    <xf numFmtId="0" fontId="0" fillId="9" borderId="1" xfId="0" applyFill="1" applyBorder="1">
      <alignment vertical="center"/>
    </xf>
    <xf numFmtId="10" fontId="0" fillId="4" borderId="1" xfId="2" applyNumberFormat="1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left" vertical="center"/>
    </xf>
    <xf numFmtId="10" fontId="7" fillId="12" borderId="1" xfId="2" applyNumberFormat="1" applyFont="1" applyFill="1" applyBorder="1" applyAlignment="1" applyProtection="1">
      <alignment horizontal="left" vertical="center"/>
      <protection hidden="1"/>
    </xf>
    <xf numFmtId="10" fontId="0" fillId="0" borderId="1" xfId="2" applyNumberFormat="1" applyFont="1" applyBorder="1">
      <alignment vertical="center"/>
    </xf>
    <xf numFmtId="43" fontId="0" fillId="3" borderId="0" xfId="1" applyFont="1" applyFill="1">
      <alignment vertical="center"/>
    </xf>
    <xf numFmtId="9" fontId="0" fillId="4" borderId="1" xfId="2" applyFont="1" applyFill="1" applyBorder="1">
      <alignment vertical="center"/>
    </xf>
    <xf numFmtId="9" fontId="0" fillId="0" borderId="1" xfId="2" applyFont="1" applyBorder="1">
      <alignment vertical="center"/>
    </xf>
    <xf numFmtId="9" fontId="7" fillId="4" borderId="2" xfId="4" applyNumberFormat="1" applyFont="1" applyFill="1" applyBorder="1" applyAlignment="1" applyProtection="1">
      <alignment horizontal="right" vertical="center"/>
      <protection locked="0"/>
    </xf>
    <xf numFmtId="177" fontId="8" fillId="10" borderId="2" xfId="1" applyNumberFormat="1" applyFont="1" applyFill="1" applyBorder="1" applyAlignment="1" applyProtection="1">
      <alignment horizontal="right" vertical="center"/>
      <protection locked="0"/>
    </xf>
    <xf numFmtId="182" fontId="8" fillId="10" borderId="9" xfId="1" applyNumberFormat="1" applyFont="1" applyFill="1" applyBorder="1" applyAlignment="1" applyProtection="1">
      <alignment horizontal="right" vertical="center"/>
      <protection locked="0"/>
    </xf>
    <xf numFmtId="182" fontId="8" fillId="10" borderId="2" xfId="1" applyNumberFormat="1" applyFont="1" applyFill="1" applyBorder="1" applyAlignment="1" applyProtection="1">
      <alignment horizontal="right" vertical="center"/>
      <protection locked="0"/>
    </xf>
    <xf numFmtId="176" fontId="7" fillId="10" borderId="2" xfId="3" applyNumberFormat="1" applyFont="1" applyFill="1" applyBorder="1" applyAlignment="1" applyProtection="1">
      <alignment horizontal="right" vertical="center"/>
      <protection locked="0"/>
    </xf>
    <xf numFmtId="179" fontId="7" fillId="10" borderId="2" xfId="1" applyNumberFormat="1" applyFont="1" applyFill="1" applyBorder="1" applyAlignment="1" applyProtection="1">
      <alignment horizontal="right" vertical="center"/>
      <protection locked="0"/>
    </xf>
    <xf numFmtId="9" fontId="0" fillId="9" borderId="1" xfId="2" applyFont="1" applyFill="1" applyBorder="1">
      <alignment vertical="center"/>
    </xf>
    <xf numFmtId="9" fontId="7" fillId="10" borderId="2" xfId="4" applyNumberFormat="1" applyFont="1" applyFill="1" applyBorder="1" applyAlignment="1" applyProtection="1">
      <alignment horizontal="right" vertical="center"/>
      <protection locked="0"/>
    </xf>
    <xf numFmtId="43" fontId="0" fillId="3" borderId="1" xfId="1" applyFont="1" applyFill="1" applyBorder="1">
      <alignment vertical="center"/>
    </xf>
    <xf numFmtId="43" fontId="0" fillId="18" borderId="1" xfId="1" applyFont="1" applyFill="1" applyBorder="1" applyProtection="1">
      <alignment vertical="center"/>
      <protection hidden="1"/>
    </xf>
    <xf numFmtId="43" fontId="0" fillId="0" borderId="1" xfId="1" applyFont="1" applyBorder="1">
      <alignment vertical="center"/>
    </xf>
    <xf numFmtId="180" fontId="0" fillId="2" borderId="5" xfId="0" applyNumberFormat="1" applyFill="1" applyBorder="1" applyAlignment="1" applyProtection="1">
      <alignment horizontal="center" vertical="center"/>
      <protection hidden="1"/>
    </xf>
    <xf numFmtId="43" fontId="0" fillId="3" borderId="1" xfId="1" applyFont="1" applyFill="1" applyBorder="1" applyAlignment="1">
      <alignment horizontal="center" vertical="center"/>
    </xf>
    <xf numFmtId="180" fontId="0" fillId="5" borderId="1" xfId="0" applyNumberFormat="1" applyFill="1" applyBorder="1" applyAlignment="1" applyProtection="1">
      <alignment horizontal="center" vertical="center"/>
      <protection hidden="1"/>
    </xf>
    <xf numFmtId="184" fontId="0" fillId="6" borderId="1" xfId="0" applyNumberFormat="1" applyFill="1" applyBorder="1" applyAlignment="1" applyProtection="1">
      <alignment horizontal="center" vertical="center"/>
      <protection hidden="1"/>
    </xf>
    <xf numFmtId="184" fontId="0" fillId="2" borderId="1" xfId="0" applyNumberFormat="1" applyFill="1" applyBorder="1" applyAlignment="1" applyProtection="1">
      <alignment horizontal="center" vertical="center"/>
      <protection hidden="1"/>
    </xf>
    <xf numFmtId="185" fontId="0" fillId="3" borderId="1" xfId="1" applyNumberFormat="1" applyFont="1" applyFill="1" applyBorder="1" applyAlignment="1">
      <alignment horizontal="center" vertical="center"/>
    </xf>
    <xf numFmtId="43" fontId="0" fillId="0" borderId="1" xfId="0" applyNumberFormat="1" applyBorder="1">
      <alignment vertical="center"/>
    </xf>
    <xf numFmtId="43" fontId="0" fillId="4" borderId="1" xfId="1" applyFont="1" applyFill="1" applyBorder="1" applyAlignment="1" applyProtection="1">
      <alignment horizontal="center" vertical="center"/>
      <protection hidden="1"/>
    </xf>
    <xf numFmtId="0" fontId="0" fillId="3" borderId="1" xfId="0" applyFill="1" applyBorder="1" applyAlignment="1" applyProtection="1">
      <alignment horizontal="center" vertical="center"/>
      <protection hidden="1"/>
    </xf>
    <xf numFmtId="176" fontId="0" fillId="2" borderId="5" xfId="1" applyNumberFormat="1" applyFont="1" applyFill="1" applyBorder="1" applyAlignment="1">
      <alignment horizontal="center" vertical="center" wrapText="1"/>
    </xf>
    <xf numFmtId="10" fontId="0" fillId="6" borderId="4" xfId="2" applyNumberFormat="1" applyFont="1" applyFill="1" applyBorder="1" applyAlignment="1">
      <alignment horizontal="center" vertical="center"/>
    </xf>
    <xf numFmtId="176" fontId="0" fillId="8" borderId="1" xfId="1" applyNumberFormat="1" applyFont="1" applyFill="1" applyBorder="1">
      <alignment vertical="center"/>
    </xf>
    <xf numFmtId="0" fontId="0" fillId="2" borderId="4" xfId="0" applyFill="1" applyBorder="1" applyAlignment="1">
      <alignment horizontal="center" vertical="center"/>
    </xf>
    <xf numFmtId="176" fontId="0" fillId="2" borderId="1" xfId="1" applyNumberFormat="1" applyFont="1" applyFill="1" applyBorder="1" applyAlignment="1">
      <alignment horizontal="center" vertical="center"/>
    </xf>
    <xf numFmtId="176" fontId="0" fillId="4" borderId="1" xfId="1" applyNumberFormat="1" applyFont="1" applyFill="1" applyBorder="1">
      <alignment vertical="center"/>
    </xf>
    <xf numFmtId="49" fontId="0" fillId="19" borderId="2" xfId="0" applyNumberFormat="1" applyFill="1" applyBorder="1">
      <alignment vertical="center"/>
    </xf>
    <xf numFmtId="0" fontId="0" fillId="7" borderId="7" xfId="0" applyFill="1" applyBorder="1" applyAlignment="1">
      <alignment vertical="center" wrapText="1"/>
    </xf>
    <xf numFmtId="0" fontId="0" fillId="3" borderId="4" xfId="0" applyFill="1" applyBorder="1" applyAlignment="1">
      <alignment horizontal="center" vertical="center"/>
    </xf>
    <xf numFmtId="176" fontId="0" fillId="3" borderId="1" xfId="1" applyNumberFormat="1" applyFont="1" applyFill="1" applyBorder="1">
      <alignment vertical="center"/>
    </xf>
    <xf numFmtId="10" fontId="0" fillId="9" borderId="1" xfId="2" applyNumberFormat="1" applyFont="1" applyFill="1" applyBorder="1">
      <alignment vertical="center"/>
    </xf>
    <xf numFmtId="49" fontId="0" fillId="19" borderId="2" xfId="2" applyNumberFormat="1" applyFont="1" applyFill="1" applyBorder="1">
      <alignment vertical="center"/>
    </xf>
    <xf numFmtId="43" fontId="0" fillId="7" borderId="7" xfId="0" applyNumberFormat="1" applyFill="1" applyBorder="1" applyAlignment="1">
      <alignment vertical="center" wrapText="1"/>
    </xf>
    <xf numFmtId="49" fontId="25" fillId="19" borderId="2" xfId="10" applyNumberFormat="1" applyFill="1" applyBorder="1">
      <alignment vertical="center"/>
    </xf>
    <xf numFmtId="10" fontId="0" fillId="3" borderId="1" xfId="2" applyNumberFormat="1" applyFont="1" applyFill="1" applyBorder="1">
      <alignment vertical="center"/>
    </xf>
    <xf numFmtId="176" fontId="0" fillId="2" borderId="1" xfId="1" applyNumberFormat="1" applyFont="1" applyFill="1" applyBorder="1" applyAlignment="1">
      <alignment horizontal="center" vertical="center" wrapText="1"/>
    </xf>
    <xf numFmtId="43" fontId="0" fillId="2" borderId="1" xfId="1" applyFont="1" applyFill="1" applyBorder="1" applyAlignment="1">
      <alignment horizontal="center" vertical="center"/>
    </xf>
    <xf numFmtId="43" fontId="0" fillId="2" borderId="5" xfId="1" applyFont="1" applyFill="1" applyBorder="1" applyAlignment="1">
      <alignment horizontal="center" vertical="center" wrapText="1"/>
    </xf>
    <xf numFmtId="10" fontId="0" fillId="2" borderId="1" xfId="2" applyNumberFormat="1" applyFont="1" applyFill="1" applyBorder="1" applyAlignment="1">
      <alignment horizontal="center" vertical="center"/>
    </xf>
    <xf numFmtId="0" fontId="0" fillId="9" borderId="5" xfId="0" applyFill="1" applyBorder="1">
      <alignment vertical="center"/>
    </xf>
    <xf numFmtId="49" fontId="0" fillId="19" borderId="2" xfId="0" applyNumberFormat="1" applyFill="1" applyBorder="1" applyAlignment="1">
      <alignment vertical="center" wrapText="1"/>
    </xf>
    <xf numFmtId="43" fontId="0" fillId="8" borderId="1" xfId="1" applyFont="1" applyFill="1" applyBorder="1">
      <alignment vertical="center"/>
    </xf>
    <xf numFmtId="43" fontId="0" fillId="4" borderId="1" xfId="1" applyFont="1" applyFill="1" applyBorder="1">
      <alignment vertical="center"/>
    </xf>
    <xf numFmtId="0" fontId="0" fillId="9" borderId="6" xfId="0" applyFill="1" applyBorder="1">
      <alignment vertical="center"/>
    </xf>
    <xf numFmtId="0" fontId="0" fillId="3" borderId="1" xfId="0" applyFill="1" applyBorder="1">
      <alignment vertical="center"/>
    </xf>
    <xf numFmtId="0" fontId="0" fillId="9" borderId="7" xfId="0" applyFill="1" applyBorder="1">
      <alignment vertical="center"/>
    </xf>
    <xf numFmtId="176" fontId="0" fillId="0" borderId="1" xfId="1" applyNumberFormat="1" applyFont="1" applyBorder="1">
      <alignment vertical="center"/>
    </xf>
    <xf numFmtId="49" fontId="0" fillId="19" borderId="2" xfId="2" applyNumberFormat="1" applyFont="1" applyFill="1" applyBorder="1" applyAlignment="1">
      <alignment vertical="center" wrapText="1"/>
    </xf>
    <xf numFmtId="176" fontId="0" fillId="4" borderId="1" xfId="1" applyNumberFormat="1" applyFont="1" applyFill="1" applyBorder="1" applyProtection="1">
      <alignment vertical="center"/>
      <protection locked="0"/>
    </xf>
    <xf numFmtId="9" fontId="0" fillId="4" borderId="1" xfId="2" applyFont="1" applyFill="1" applyBorder="1" applyProtection="1">
      <alignment vertical="center"/>
      <protection locked="0"/>
    </xf>
    <xf numFmtId="10" fontId="0" fillId="4" borderId="1" xfId="2" applyNumberFormat="1" applyFont="1" applyFill="1" applyBorder="1" applyProtection="1">
      <alignment vertical="center"/>
      <protection locked="0"/>
    </xf>
    <xf numFmtId="43" fontId="0" fillId="4" borderId="1" xfId="1" applyFont="1" applyFill="1" applyBorder="1" applyProtection="1">
      <alignment vertical="center"/>
      <protection locked="0"/>
    </xf>
    <xf numFmtId="185" fontId="0" fillId="3" borderId="1" xfId="1" applyNumberFormat="1" applyFont="1" applyFill="1" applyBorder="1" applyAlignment="1" applyProtection="1">
      <alignment horizontal="right" vertical="center"/>
    </xf>
    <xf numFmtId="177" fontId="8" fillId="3" borderId="9" xfId="1" applyNumberFormat="1" applyFont="1" applyFill="1" applyBorder="1" applyAlignment="1" applyProtection="1">
      <alignment horizontal="right" vertical="center"/>
    </xf>
    <xf numFmtId="182" fontId="8" fillId="3" borderId="2" xfId="1" applyNumberFormat="1" applyFont="1" applyFill="1" applyBorder="1" applyAlignment="1" applyProtection="1">
      <alignment horizontal="right" vertical="center"/>
    </xf>
    <xf numFmtId="177" fontId="8" fillId="3" borderId="2" xfId="1" applyNumberFormat="1" applyFont="1" applyFill="1" applyBorder="1" applyAlignment="1" applyProtection="1">
      <alignment horizontal="right" vertical="center"/>
    </xf>
    <xf numFmtId="10" fontId="8" fillId="3" borderId="2" xfId="2" applyNumberFormat="1" applyFont="1" applyFill="1" applyBorder="1" applyAlignment="1" applyProtection="1">
      <alignment horizontal="right" vertical="center"/>
    </xf>
    <xf numFmtId="43" fontId="8" fillId="3" borderId="2" xfId="1" applyFont="1" applyFill="1" applyBorder="1" applyAlignment="1" applyProtection="1">
      <alignment horizontal="right" vertical="center"/>
    </xf>
    <xf numFmtId="43" fontId="7" fillId="3" borderId="2" xfId="1" applyFont="1" applyFill="1" applyBorder="1" applyAlignment="1" applyProtection="1">
      <alignment horizontal="right" vertical="center"/>
    </xf>
    <xf numFmtId="0" fontId="0" fillId="4" borderId="1" xfId="0" applyFill="1" applyBorder="1" applyAlignment="1" applyProtection="1">
      <alignment horizontal="center" vertical="center"/>
      <protection locked="0"/>
    </xf>
    <xf numFmtId="176" fontId="0" fillId="10" borderId="1" xfId="9" applyNumberFormat="1" applyFont="1" applyFill="1" applyBorder="1" applyAlignment="1" applyProtection="1">
      <alignment horizontal="center" vertical="center"/>
      <protection locked="0"/>
    </xf>
    <xf numFmtId="9" fontId="0" fillId="10" borderId="1" xfId="7" applyFont="1" applyFill="1" applyBorder="1" applyProtection="1">
      <alignment vertical="center"/>
      <protection locked="0"/>
    </xf>
    <xf numFmtId="10" fontId="8" fillId="3" borderId="2" xfId="2" applyNumberFormat="1" applyFont="1" applyFill="1" applyBorder="1" applyAlignment="1" applyProtection="1">
      <alignment horizontal="center" vertical="center"/>
    </xf>
    <xf numFmtId="49" fontId="0" fillId="0" borderId="1" xfId="2" applyNumberFormat="1" applyFont="1" applyBorder="1" applyAlignment="1">
      <alignment horizontal="center" vertical="center"/>
    </xf>
    <xf numFmtId="49" fontId="7" fillId="12" borderId="1" xfId="3" applyNumberFormat="1" applyFont="1" applyFill="1" applyBorder="1" applyAlignment="1" applyProtection="1">
      <alignment horizontal="left" vertical="center"/>
      <protection hidden="1"/>
    </xf>
    <xf numFmtId="43" fontId="23" fillId="18" borderId="2" xfId="1" applyFont="1" applyFill="1" applyBorder="1" applyProtection="1">
      <alignment vertical="center"/>
      <protection hidden="1"/>
    </xf>
    <xf numFmtId="10" fontId="23" fillId="18" borderId="2" xfId="2" applyNumberFormat="1" applyFont="1" applyFill="1" applyBorder="1" applyProtection="1">
      <alignment vertical="center"/>
      <protection hidden="1"/>
    </xf>
    <xf numFmtId="49" fontId="23" fillId="18" borderId="2" xfId="2" applyNumberFormat="1" applyFont="1" applyFill="1" applyBorder="1" applyAlignment="1" applyProtection="1">
      <alignment horizontal="center" vertical="center"/>
      <protection hidden="1"/>
    </xf>
    <xf numFmtId="0" fontId="0" fillId="21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7" fillId="0" borderId="0" xfId="4" applyNumberFormat="1" applyFont="1" applyProtection="1"/>
    <xf numFmtId="44" fontId="7" fillId="2" borderId="1" xfId="6" applyFont="1" applyFill="1" applyBorder="1" applyAlignment="1" applyProtection="1">
      <alignment horizontal="center" vertical="center"/>
    </xf>
    <xf numFmtId="0" fontId="7" fillId="2" borderId="1" xfId="4" applyNumberFormat="1" applyFont="1" applyFill="1" applyBorder="1" applyAlignment="1" applyProtection="1">
      <alignment horizontal="center"/>
    </xf>
    <xf numFmtId="179" fontId="7" fillId="9" borderId="1" xfId="3" applyNumberFormat="1" applyFont="1" applyFill="1" applyBorder="1" applyAlignment="1" applyProtection="1">
      <alignment horizontal="left" vertical="center"/>
    </xf>
    <xf numFmtId="0" fontId="7" fillId="0" borderId="0" xfId="4" applyNumberFormat="1" applyFont="1" applyAlignment="1" applyProtection="1">
      <alignment horizontal="center"/>
    </xf>
    <xf numFmtId="43" fontId="7" fillId="3" borderId="1" xfId="1" applyFont="1" applyFill="1" applyBorder="1" applyAlignment="1" applyProtection="1"/>
    <xf numFmtId="10" fontId="7" fillId="3" borderId="1" xfId="5" applyNumberFormat="1" applyFont="1" applyFill="1" applyBorder="1" applyAlignment="1" applyProtection="1"/>
    <xf numFmtId="43" fontId="7" fillId="14" borderId="1" xfId="3" applyFont="1" applyFill="1" applyBorder="1" applyAlignment="1" applyProtection="1"/>
    <xf numFmtId="179" fontId="7" fillId="13" borderId="1" xfId="3" applyNumberFormat="1" applyFont="1" applyFill="1" applyBorder="1" applyAlignment="1" applyProtection="1">
      <alignment horizontal="left" vertical="center"/>
    </xf>
    <xf numFmtId="0" fontId="7" fillId="13" borderId="1" xfId="4" applyNumberFormat="1" applyFont="1" applyFill="1" applyBorder="1" applyAlignment="1" applyProtection="1">
      <alignment horizontal="left"/>
    </xf>
    <xf numFmtId="43" fontId="7" fillId="0" borderId="1" xfId="3" applyFont="1" applyBorder="1" applyAlignment="1" applyProtection="1"/>
    <xf numFmtId="0" fontId="7" fillId="9" borderId="1" xfId="4" applyNumberFormat="1" applyFont="1" applyFill="1" applyBorder="1" applyAlignment="1" applyProtection="1">
      <alignment horizontal="center" vertical="center" textRotation="255" wrapText="1"/>
    </xf>
    <xf numFmtId="0" fontId="7" fillId="0" borderId="1" xfId="4" applyNumberFormat="1" applyFont="1" applyBorder="1" applyProtection="1"/>
    <xf numFmtId="0" fontId="7" fillId="0" borderId="1" xfId="4" applyNumberFormat="1" applyFont="1" applyBorder="1" applyAlignment="1" applyProtection="1">
      <alignment horizontal="left"/>
    </xf>
    <xf numFmtId="0" fontId="7" fillId="21" borderId="0" xfId="4" applyNumberFormat="1" applyFont="1" applyFill="1" applyBorder="1" applyProtection="1"/>
    <xf numFmtId="0" fontId="7" fillId="21" borderId="0" xfId="4" applyFont="1" applyFill="1" applyBorder="1" applyAlignment="1" applyProtection="1">
      <alignment horizontal="center"/>
    </xf>
    <xf numFmtId="0" fontId="7" fillId="21" borderId="0" xfId="4" applyNumberFormat="1" applyFont="1" applyFill="1" applyBorder="1" applyAlignment="1" applyProtection="1">
      <alignment horizontal="center"/>
    </xf>
    <xf numFmtId="0" fontId="7" fillId="21" borderId="0" xfId="4" applyFont="1" applyFill="1" applyBorder="1" applyProtection="1"/>
    <xf numFmtId="0" fontId="7" fillId="7" borderId="1" xfId="4" applyNumberFormat="1" applyFont="1" applyFill="1" applyBorder="1" applyProtection="1"/>
    <xf numFmtId="176" fontId="7" fillId="7" borderId="1" xfId="3" applyNumberFormat="1" applyFont="1" applyFill="1" applyBorder="1" applyAlignment="1" applyProtection="1"/>
    <xf numFmtId="179" fontId="7" fillId="6" borderId="1" xfId="3" applyNumberFormat="1" applyFont="1" applyFill="1" applyBorder="1" applyAlignment="1" applyProtection="1">
      <alignment horizontal="center" vertical="center"/>
    </xf>
    <xf numFmtId="43" fontId="7" fillId="8" borderId="1" xfId="1" applyFont="1" applyFill="1" applyBorder="1" applyAlignment="1" applyProtection="1"/>
    <xf numFmtId="0" fontId="7" fillId="4" borderId="1" xfId="4" applyNumberFormat="1" applyFont="1" applyFill="1" applyBorder="1" applyProtection="1">
      <protection locked="0"/>
    </xf>
    <xf numFmtId="178" fontId="0" fillId="3" borderId="1" xfId="1" applyNumberFormat="1" applyFont="1" applyFill="1" applyBorder="1" applyProtection="1">
      <alignment vertical="center"/>
    </xf>
    <xf numFmtId="0" fontId="7" fillId="3" borderId="1" xfId="4" applyNumberFormat="1" applyFont="1" applyFill="1" applyBorder="1" applyProtection="1"/>
    <xf numFmtId="183" fontId="8" fillId="3" borderId="1" xfId="2" applyNumberFormat="1" applyFont="1" applyFill="1" applyBorder="1" applyProtection="1">
      <alignment vertical="center"/>
    </xf>
    <xf numFmtId="10" fontId="8" fillId="3" borderId="1" xfId="2" applyNumberFormat="1" applyFont="1" applyFill="1" applyBorder="1" applyProtection="1">
      <alignment vertical="center"/>
    </xf>
    <xf numFmtId="177" fontId="8" fillId="10" borderId="1" xfId="1" applyNumberFormat="1" applyFont="1" applyFill="1" applyBorder="1" applyProtection="1">
      <alignment vertical="center"/>
      <protection locked="0"/>
    </xf>
    <xf numFmtId="177" fontId="0" fillId="10" borderId="1" xfId="1" applyNumberFormat="1" applyFont="1" applyFill="1" applyBorder="1" applyProtection="1">
      <alignment vertical="center"/>
      <protection locked="0"/>
    </xf>
    <xf numFmtId="187" fontId="0" fillId="10" borderId="1" xfId="1" applyNumberFormat="1" applyFont="1" applyFill="1" applyBorder="1" applyProtection="1">
      <alignment vertical="center"/>
      <protection locked="0"/>
    </xf>
    <xf numFmtId="177" fontId="0" fillId="3" borderId="1" xfId="1" applyNumberFormat="1" applyFont="1" applyFill="1" applyBorder="1" applyProtection="1">
      <alignment vertical="center"/>
    </xf>
    <xf numFmtId="177" fontId="8" fillId="3" borderId="1" xfId="1" applyNumberFormat="1" applyFont="1" applyFill="1" applyBorder="1" applyProtection="1">
      <alignment vertical="center"/>
    </xf>
    <xf numFmtId="188" fontId="0" fillId="10" borderId="1" xfId="1" applyNumberFormat="1" applyFont="1" applyFill="1" applyBorder="1" applyProtection="1">
      <alignment vertical="center"/>
      <protection locked="0"/>
    </xf>
    <xf numFmtId="189" fontId="7" fillId="3" borderId="1" xfId="4" applyNumberFormat="1" applyFont="1" applyFill="1" applyBorder="1" applyProtection="1"/>
    <xf numFmtId="43" fontId="0" fillId="10" borderId="1" xfId="1" applyFont="1" applyFill="1" applyBorder="1" applyProtection="1">
      <alignment vertical="center"/>
      <protection locked="0"/>
    </xf>
    <xf numFmtId="176" fontId="7" fillId="10" borderId="1" xfId="3" applyNumberFormat="1" applyFont="1" applyFill="1" applyBorder="1" applyAlignment="1" applyProtection="1">
      <protection locked="0"/>
    </xf>
    <xf numFmtId="177" fontId="7" fillId="3" borderId="1" xfId="4" applyNumberFormat="1" applyFont="1" applyFill="1" applyBorder="1" applyProtection="1"/>
    <xf numFmtId="179" fontId="7" fillId="0" borderId="1" xfId="3" applyNumberFormat="1" applyFont="1" applyBorder="1" applyAlignment="1" applyProtection="1">
      <alignment horizontal="center" vertical="center"/>
    </xf>
    <xf numFmtId="10" fontId="7" fillId="0" borderId="1" xfId="5" applyNumberFormat="1" applyFont="1" applyFill="1" applyBorder="1" applyAlignment="1" applyProtection="1"/>
    <xf numFmtId="179" fontId="7" fillId="22" borderId="1" xfId="3" applyNumberFormat="1" applyFont="1" applyFill="1" applyBorder="1" applyAlignment="1" applyProtection="1">
      <alignment horizontal="center" vertical="center"/>
    </xf>
    <xf numFmtId="10" fontId="7" fillId="23" borderId="1" xfId="5" applyNumberFormat="1" applyFont="1" applyFill="1" applyBorder="1" applyAlignment="1" applyProtection="1"/>
    <xf numFmtId="43" fontId="7" fillId="23" borderId="1" xfId="3" applyFont="1" applyFill="1" applyBorder="1" applyAlignment="1" applyProtection="1"/>
    <xf numFmtId="43" fontId="7" fillId="23" borderId="1" xfId="1" applyFont="1" applyFill="1" applyBorder="1" applyAlignment="1" applyProtection="1"/>
    <xf numFmtId="179" fontId="7" fillId="24" borderId="1" xfId="3" applyNumberFormat="1" applyFont="1" applyFill="1" applyBorder="1" applyAlignment="1" applyProtection="1">
      <alignment horizontal="center" vertical="center"/>
    </xf>
    <xf numFmtId="178" fontId="0" fillId="3" borderId="1" xfId="1" applyNumberFormat="1" applyFont="1" applyFill="1" applyBorder="1" applyProtection="1">
      <alignment vertical="center"/>
      <protection locked="0"/>
    </xf>
    <xf numFmtId="190" fontId="8" fillId="10" borderId="1" xfId="2" applyNumberFormat="1" applyFont="1" applyFill="1" applyBorder="1" applyProtection="1">
      <alignment vertical="center"/>
      <protection locked="0"/>
    </xf>
    <xf numFmtId="177" fontId="7" fillId="0" borderId="1" xfId="4" applyNumberFormat="1" applyFont="1" applyBorder="1" applyAlignment="1" applyProtection="1">
      <alignment horizontal="left"/>
    </xf>
    <xf numFmtId="0" fontId="7" fillId="13" borderId="1" xfId="4" applyNumberFormat="1" applyFont="1" applyFill="1" applyBorder="1" applyAlignment="1" applyProtection="1">
      <alignment horizontal="center" vertical="center" textRotation="255" wrapText="1"/>
    </xf>
    <xf numFmtId="0" fontId="7" fillId="7" borderId="7" xfId="4" applyNumberFormat="1" applyFont="1" applyFill="1" applyBorder="1" applyProtection="1"/>
    <xf numFmtId="43" fontId="7" fillId="2" borderId="2" xfId="1" applyFont="1" applyFill="1" applyBorder="1" applyAlignment="1" applyProtection="1">
      <alignment horizontal="centerContinuous" vertical="center" wrapText="1"/>
    </xf>
    <xf numFmtId="43" fontId="7" fillId="2" borderId="1" xfId="1" applyFont="1" applyFill="1" applyBorder="1" applyAlignment="1" applyProtection="1">
      <alignment horizontal="centerContinuous" vertical="center" wrapText="1"/>
    </xf>
    <xf numFmtId="43" fontId="7" fillId="11" borderId="2" xfId="1" applyFont="1" applyFill="1" applyBorder="1" applyAlignment="1" applyProtection="1">
      <alignment horizontal="centerContinuous" vertical="center" wrapText="1"/>
    </xf>
    <xf numFmtId="43" fontId="7" fillId="11" borderId="4" xfId="1" applyFont="1" applyFill="1" applyBorder="1" applyAlignment="1" applyProtection="1">
      <alignment horizontal="centerContinuous" vertical="center" wrapText="1"/>
    </xf>
    <xf numFmtId="9" fontId="7" fillId="11" borderId="3" xfId="2" applyFont="1" applyFill="1" applyBorder="1" applyAlignment="1" applyProtection="1">
      <alignment horizontal="centerContinuous" vertical="center" wrapText="1"/>
    </xf>
    <xf numFmtId="43" fontId="7" fillId="2" borderId="1" xfId="1" applyFont="1" applyFill="1" applyBorder="1" applyAlignment="1" applyProtection="1">
      <alignment horizontal="center"/>
    </xf>
    <xf numFmtId="43" fontId="7" fillId="11" borderId="1" xfId="1" applyFont="1" applyFill="1" applyBorder="1" applyAlignment="1" applyProtection="1">
      <alignment horizontal="center"/>
    </xf>
    <xf numFmtId="9" fontId="7" fillId="11" borderId="1" xfId="2" applyFont="1" applyFill="1" applyBorder="1" applyAlignment="1" applyProtection="1">
      <alignment horizontal="center"/>
    </xf>
    <xf numFmtId="176" fontId="0" fillId="2" borderId="1" xfId="1" applyNumberFormat="1" applyFont="1" applyFill="1" applyBorder="1" applyAlignment="1" applyProtection="1">
      <alignment horizontal="center" vertical="center"/>
    </xf>
    <xf numFmtId="43" fontId="0" fillId="2" borderId="1" xfId="1" applyFont="1" applyFill="1" applyBorder="1" applyAlignment="1" applyProtection="1">
      <alignment horizontal="center" vertical="center"/>
    </xf>
    <xf numFmtId="43" fontId="0" fillId="11" borderId="1" xfId="1" applyFont="1" applyFill="1" applyBorder="1" applyAlignment="1" applyProtection="1">
      <alignment horizontal="center" vertical="center"/>
    </xf>
    <xf numFmtId="176" fontId="7" fillId="7" borderId="7" xfId="3" applyNumberFormat="1" applyFont="1" applyFill="1" applyBorder="1" applyAlignment="1" applyProtection="1"/>
    <xf numFmtId="176" fontId="0" fillId="7" borderId="1" xfId="1" applyNumberFormat="1" applyFont="1" applyFill="1" applyBorder="1" applyProtection="1">
      <alignment vertical="center"/>
    </xf>
    <xf numFmtId="43" fontId="7" fillId="11" borderId="6" xfId="1" applyFont="1" applyFill="1" applyBorder="1" applyAlignment="1" applyProtection="1"/>
    <xf numFmtId="43" fontId="7" fillId="7" borderId="6" xfId="1" applyFont="1" applyFill="1" applyBorder="1" applyAlignment="1" applyProtection="1"/>
    <xf numFmtId="43" fontId="7" fillId="7" borderId="1" xfId="1" applyFont="1" applyFill="1" applyBorder="1" applyAlignment="1" applyProtection="1"/>
    <xf numFmtId="43" fontId="0" fillId="14" borderId="1" xfId="1" applyFont="1" applyFill="1" applyBorder="1" applyProtection="1">
      <alignment vertical="center"/>
    </xf>
    <xf numFmtId="43" fontId="0" fillId="11" borderId="1" xfId="1" applyFont="1" applyFill="1" applyBorder="1" applyProtection="1">
      <alignment vertical="center"/>
    </xf>
    <xf numFmtId="0" fontId="7" fillId="0" borderId="10" xfId="4" applyFont="1" applyBorder="1" applyAlignment="1" applyProtection="1">
      <alignment horizontal="center"/>
    </xf>
    <xf numFmtId="43" fontId="7" fillId="3" borderId="6" xfId="1" applyFont="1" applyFill="1" applyBorder="1" applyAlignment="1" applyProtection="1"/>
    <xf numFmtId="9" fontId="7" fillId="3" borderId="1" xfId="2" applyFont="1" applyFill="1" applyBorder="1" applyAlignment="1" applyProtection="1"/>
    <xf numFmtId="10" fontId="0" fillId="3" borderId="1" xfId="2" applyNumberFormat="1" applyFont="1" applyFill="1" applyBorder="1" applyProtection="1">
      <alignment vertical="center"/>
    </xf>
    <xf numFmtId="43" fontId="0" fillId="3" borderId="1" xfId="1" applyFont="1" applyFill="1" applyBorder="1" applyProtection="1">
      <alignment vertical="center"/>
    </xf>
    <xf numFmtId="43" fontId="7" fillId="0" borderId="10" xfId="4" applyNumberFormat="1" applyFont="1" applyBorder="1" applyProtection="1"/>
    <xf numFmtId="0" fontId="7" fillId="0" borderId="10" xfId="4" applyFont="1" applyBorder="1" applyProtection="1"/>
    <xf numFmtId="179" fontId="7" fillId="12" borderId="1" xfId="3" applyNumberFormat="1" applyFont="1" applyFill="1" applyBorder="1" applyAlignment="1" applyProtection="1">
      <alignment horizontal="left" vertical="center"/>
    </xf>
    <xf numFmtId="179" fontId="7" fillId="9" borderId="6" xfId="3" applyNumberFormat="1" applyFont="1" applyFill="1" applyBorder="1" applyAlignment="1" applyProtection="1">
      <alignment horizontal="left" vertical="center"/>
    </xf>
    <xf numFmtId="179" fontId="7" fillId="15" borderId="1" xfId="3" applyNumberFormat="1" applyFont="1" applyFill="1" applyBorder="1" applyAlignment="1" applyProtection="1">
      <alignment horizontal="left" vertical="center"/>
    </xf>
    <xf numFmtId="176" fontId="0" fillId="3" borderId="1" xfId="1" applyNumberFormat="1" applyFont="1" applyFill="1" applyBorder="1" applyProtection="1">
      <alignment vertical="center"/>
    </xf>
    <xf numFmtId="43" fontId="7" fillId="3" borderId="9" xfId="1" applyFont="1" applyFill="1" applyBorder="1" applyAlignment="1" applyProtection="1"/>
    <xf numFmtId="0" fontId="7" fillId="0" borderId="1" xfId="4" quotePrefix="1" applyNumberFormat="1" applyFont="1" applyBorder="1" applyAlignment="1" applyProtection="1">
      <alignment horizontal="left"/>
    </xf>
    <xf numFmtId="0" fontId="7" fillId="0" borderId="2" xfId="4" applyNumberFormat="1" applyFont="1" applyBorder="1" applyProtection="1"/>
    <xf numFmtId="43" fontId="7" fillId="0" borderId="1" xfId="1" applyFont="1" applyBorder="1" applyAlignment="1" applyProtection="1"/>
    <xf numFmtId="9" fontId="7" fillId="0" borderId="1" xfId="2" applyFont="1" applyBorder="1" applyAlignment="1" applyProtection="1"/>
    <xf numFmtId="43" fontId="0" fillId="0" borderId="1" xfId="1" applyFont="1" applyBorder="1" applyProtection="1">
      <alignment vertical="center"/>
    </xf>
    <xf numFmtId="49" fontId="0" fillId="2" borderId="5" xfId="0" applyNumberFormat="1" applyFill="1" applyBorder="1" applyAlignment="1">
      <alignment horizontal="center" vertical="center"/>
    </xf>
    <xf numFmtId="185" fontId="0" fillId="3" borderId="1" xfId="1" applyNumberFormat="1" applyFont="1" applyFill="1" applyBorder="1" applyAlignment="1" applyProtection="1">
      <alignment horizontal="center" vertical="center"/>
    </xf>
    <xf numFmtId="184" fontId="0" fillId="6" borderId="1" xfId="0" applyNumberFormat="1" applyFill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43" fontId="0" fillId="3" borderId="1" xfId="0" applyNumberFormat="1" applyFill="1" applyBorder="1">
      <alignment vertical="center"/>
    </xf>
    <xf numFmtId="43" fontId="0" fillId="4" borderId="1" xfId="1" applyFont="1" applyFill="1" applyBorder="1" applyAlignment="1" applyProtection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3" fontId="0" fillId="4" borderId="1" xfId="1" applyFont="1" applyFill="1" applyBorder="1" applyProtection="1">
      <alignment vertical="center"/>
    </xf>
    <xf numFmtId="0" fontId="0" fillId="25" borderId="1" xfId="0" applyFill="1" applyBorder="1" applyAlignment="1">
      <alignment horizontal="center" vertical="center"/>
    </xf>
    <xf numFmtId="49" fontId="0" fillId="25" borderId="1" xfId="0" applyNumberFormat="1" applyFill="1" applyBorder="1" applyAlignment="1">
      <alignment horizontal="center" vertical="center"/>
    </xf>
    <xf numFmtId="181" fontId="0" fillId="5" borderId="1" xfId="0" applyNumberFormat="1" applyFill="1" applyBorder="1" applyAlignment="1">
      <alignment horizontal="center" vertical="center"/>
    </xf>
    <xf numFmtId="9" fontId="0" fillId="25" borderId="1" xfId="2" applyFont="1" applyFill="1" applyBorder="1" applyAlignment="1">
      <alignment horizontal="center" vertical="center"/>
    </xf>
    <xf numFmtId="181" fontId="0" fillId="2" borderId="5" xfId="0" applyNumberFormat="1" applyFill="1" applyBorder="1" applyAlignment="1" applyProtection="1">
      <alignment horizontal="center" vertical="center"/>
      <protection hidden="1"/>
    </xf>
    <xf numFmtId="181" fontId="0" fillId="2" borderId="6" xfId="0" applyNumberFormat="1" applyFill="1" applyBorder="1" applyAlignment="1" applyProtection="1">
      <alignment horizontal="center" vertical="center"/>
      <protection hidden="1"/>
    </xf>
    <xf numFmtId="43" fontId="0" fillId="2" borderId="2" xfId="1" applyFont="1" applyFill="1" applyBorder="1" applyAlignment="1" applyProtection="1">
      <alignment horizontal="center" vertical="center"/>
      <protection hidden="1"/>
    </xf>
    <xf numFmtId="43" fontId="0" fillId="2" borderId="3" xfId="1" applyFont="1" applyFill="1" applyBorder="1" applyAlignment="1" applyProtection="1">
      <alignment horizontal="center" vertical="center"/>
      <protection hidden="1"/>
    </xf>
    <xf numFmtId="43" fontId="0" fillId="2" borderId="4" xfId="1" applyFont="1" applyFill="1" applyBorder="1" applyAlignment="1" applyProtection="1">
      <alignment horizontal="center" vertical="center"/>
      <protection hidden="1"/>
    </xf>
    <xf numFmtId="43" fontId="25" fillId="2" borderId="2" xfId="10" applyNumberFormat="1" applyFill="1" applyBorder="1" applyAlignment="1" applyProtection="1">
      <alignment horizontal="center" vertical="center"/>
      <protection hidden="1"/>
    </xf>
    <xf numFmtId="43" fontId="25" fillId="2" borderId="3" xfId="10" applyNumberFormat="1" applyFill="1" applyBorder="1" applyAlignment="1" applyProtection="1">
      <alignment horizontal="center" vertical="center"/>
      <protection hidden="1"/>
    </xf>
    <xf numFmtId="43" fontId="25" fillId="2" borderId="4" xfId="10" applyNumberFormat="1" applyFill="1" applyBorder="1" applyAlignment="1" applyProtection="1">
      <alignment horizontal="center" vertical="center"/>
      <protection hidden="1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176" fontId="0" fillId="2" borderId="5" xfId="1" applyNumberFormat="1" applyFont="1" applyFill="1" applyBorder="1" applyAlignment="1">
      <alignment horizontal="center" vertical="center" wrapText="1"/>
    </xf>
    <xf numFmtId="176" fontId="0" fillId="2" borderId="6" xfId="1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20" borderId="11" xfId="0" applyFill="1" applyBorder="1" applyAlignment="1">
      <alignment vertical="top" wrapText="1"/>
    </xf>
    <xf numFmtId="0" fontId="0" fillId="20" borderId="13" xfId="0" applyFill="1" applyBorder="1" applyAlignment="1">
      <alignment vertical="top" wrapText="1"/>
    </xf>
    <xf numFmtId="0" fontId="0" fillId="20" borderId="14" xfId="0" applyFill="1" applyBorder="1" applyAlignment="1">
      <alignment vertical="top" wrapText="1"/>
    </xf>
    <xf numFmtId="0" fontId="0" fillId="20" borderId="12" xfId="0" applyFill="1" applyBorder="1" applyAlignment="1">
      <alignment vertical="top" wrapText="1"/>
    </xf>
    <xf numFmtId="0" fontId="0" fillId="20" borderId="0" xfId="0" applyFill="1" applyAlignment="1">
      <alignment vertical="top" wrapText="1"/>
    </xf>
    <xf numFmtId="0" fontId="0" fillId="20" borderId="15" xfId="0" applyFill="1" applyBorder="1" applyAlignment="1">
      <alignment vertical="top" wrapText="1"/>
    </xf>
    <xf numFmtId="0" fontId="0" fillId="20" borderId="9" xfId="0" applyFill="1" applyBorder="1" applyAlignment="1">
      <alignment vertical="top" wrapText="1"/>
    </xf>
    <xf numFmtId="0" fontId="0" fillId="20" borderId="16" xfId="0" applyFill="1" applyBorder="1" applyAlignment="1">
      <alignment vertical="top" wrapText="1"/>
    </xf>
    <xf numFmtId="0" fontId="0" fillId="20" borderId="8" xfId="0" applyFill="1" applyBorder="1" applyAlignment="1">
      <alignment vertical="top" wrapText="1"/>
    </xf>
    <xf numFmtId="0" fontId="0" fillId="9" borderId="5" xfId="0" applyFill="1" applyBorder="1">
      <alignment vertical="center"/>
    </xf>
    <xf numFmtId="0" fontId="0" fillId="9" borderId="6" xfId="0" applyFill="1" applyBorder="1">
      <alignment vertical="center"/>
    </xf>
    <xf numFmtId="0" fontId="0" fillId="9" borderId="7" xfId="0" applyFill="1" applyBorder="1">
      <alignment vertical="center"/>
    </xf>
    <xf numFmtId="176" fontId="4" fillId="6" borderId="2" xfId="1" applyNumberFormat="1" applyFont="1" applyFill="1" applyBorder="1" applyAlignment="1" applyProtection="1">
      <alignment horizontal="right" vertical="center"/>
    </xf>
    <xf numFmtId="176" fontId="4" fillId="6" borderId="3" xfId="1" applyNumberFormat="1" applyFont="1" applyFill="1" applyBorder="1" applyAlignment="1" applyProtection="1">
      <alignment horizontal="right" vertical="center"/>
    </xf>
    <xf numFmtId="176" fontId="4" fillId="6" borderId="4" xfId="1" applyNumberFormat="1" applyFont="1" applyFill="1" applyBorder="1" applyAlignment="1" applyProtection="1">
      <alignment horizontal="right" vertical="center"/>
    </xf>
    <xf numFmtId="43" fontId="0" fillId="6" borderId="2" xfId="1" applyFont="1" applyFill="1" applyBorder="1" applyAlignment="1" applyProtection="1">
      <alignment horizontal="right" vertical="center"/>
    </xf>
    <xf numFmtId="43" fontId="0" fillId="6" borderId="3" xfId="1" applyFont="1" applyFill="1" applyBorder="1" applyAlignment="1" applyProtection="1">
      <alignment horizontal="right" vertical="center"/>
    </xf>
    <xf numFmtId="43" fontId="0" fillId="6" borderId="4" xfId="1" applyFont="1" applyFill="1" applyBorder="1" applyAlignment="1" applyProtection="1">
      <alignment horizontal="right" vertical="center"/>
    </xf>
    <xf numFmtId="49" fontId="0" fillId="6" borderId="2" xfId="0" applyNumberFormat="1" applyFill="1" applyBorder="1" applyAlignment="1">
      <alignment horizontal="right" vertical="center"/>
    </xf>
    <xf numFmtId="49" fontId="0" fillId="6" borderId="3" xfId="0" applyNumberFormat="1" applyFill="1" applyBorder="1" applyAlignment="1">
      <alignment horizontal="right" vertical="center"/>
    </xf>
    <xf numFmtId="49" fontId="0" fillId="6" borderId="4" xfId="0" applyNumberFormat="1" applyFill="1" applyBorder="1" applyAlignment="1">
      <alignment horizontal="right" vertical="center"/>
    </xf>
    <xf numFmtId="176" fontId="0" fillId="4" borderId="2" xfId="1" applyNumberFormat="1" applyFont="1" applyFill="1" applyBorder="1" applyAlignment="1" applyProtection="1">
      <alignment horizontal="center" vertical="center"/>
      <protection locked="0"/>
    </xf>
    <xf numFmtId="176" fontId="0" fillId="4" borderId="4" xfId="1" applyNumberFormat="1" applyFont="1" applyFill="1" applyBorder="1" applyAlignment="1" applyProtection="1">
      <alignment horizontal="center" vertical="center"/>
      <protection locked="0"/>
    </xf>
    <xf numFmtId="43" fontId="0" fillId="2" borderId="2" xfId="1" applyFont="1" applyFill="1" applyBorder="1" applyAlignment="1" applyProtection="1">
      <alignment horizontal="center" vertical="center"/>
    </xf>
    <xf numFmtId="43" fontId="0" fillId="2" borderId="4" xfId="1" applyFont="1" applyFill="1" applyBorder="1" applyAlignment="1" applyProtection="1">
      <alignment horizontal="center" vertical="center"/>
    </xf>
    <xf numFmtId="43" fontId="0" fillId="3" borderId="2" xfId="1" applyFont="1" applyFill="1" applyBorder="1" applyProtection="1">
      <alignment vertical="center"/>
    </xf>
    <xf numFmtId="43" fontId="0" fillId="3" borderId="4" xfId="1" applyFont="1" applyFill="1" applyBorder="1" applyProtection="1">
      <alignment vertical="center"/>
    </xf>
    <xf numFmtId="176" fontId="0" fillId="3" borderId="2" xfId="1" applyNumberFormat="1" applyFont="1" applyFill="1" applyBorder="1" applyProtection="1">
      <alignment vertical="center"/>
    </xf>
    <xf numFmtId="176" fontId="0" fillId="3" borderId="4" xfId="1" applyNumberFormat="1" applyFont="1" applyFill="1" applyBorder="1" applyProtection="1">
      <alignment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6" xfId="0" applyNumberFormat="1" applyFill="1" applyBorder="1" applyAlignment="1">
      <alignment horizontal="center" vertical="center"/>
    </xf>
    <xf numFmtId="10" fontId="0" fillId="3" borderId="2" xfId="2" applyNumberFormat="1" applyFont="1" applyFill="1" applyBorder="1" applyProtection="1">
      <alignment vertical="center"/>
    </xf>
    <xf numFmtId="10" fontId="0" fillId="3" borderId="4" xfId="2" applyNumberFormat="1" applyFont="1" applyFill="1" applyBorder="1" applyProtection="1">
      <alignment vertical="center"/>
    </xf>
    <xf numFmtId="10" fontId="24" fillId="3" borderId="2" xfId="2" applyNumberFormat="1" applyFont="1" applyFill="1" applyBorder="1" applyProtection="1">
      <alignment vertical="center"/>
    </xf>
    <xf numFmtId="10" fontId="24" fillId="3" borderId="4" xfId="2" applyNumberFormat="1" applyFont="1" applyFill="1" applyBorder="1" applyProtection="1">
      <alignment vertical="center"/>
    </xf>
    <xf numFmtId="184" fontId="0" fillId="2" borderId="5" xfId="0" applyNumberFormat="1" applyFill="1" applyBorder="1" applyAlignment="1" applyProtection="1">
      <alignment horizontal="center" vertical="center" wrapText="1"/>
      <protection hidden="1"/>
    </xf>
    <xf numFmtId="184" fontId="0" fillId="2" borderId="6" xfId="0" applyNumberFormat="1" applyFill="1" applyBorder="1" applyAlignment="1" applyProtection="1">
      <alignment horizontal="center" vertical="center"/>
      <protection hidden="1"/>
    </xf>
    <xf numFmtId="43" fontId="4" fillId="6" borderId="2" xfId="1" applyFont="1" applyFill="1" applyBorder="1" applyAlignment="1" applyProtection="1">
      <alignment horizontal="right" vertical="center"/>
      <protection hidden="1"/>
    </xf>
    <xf numFmtId="43" fontId="4" fillId="6" borderId="3" xfId="1" applyFont="1" applyFill="1" applyBorder="1" applyAlignment="1" applyProtection="1">
      <alignment horizontal="right" vertical="center"/>
      <protection hidden="1"/>
    </xf>
    <xf numFmtId="43" fontId="4" fillId="6" borderId="4" xfId="1" applyFont="1" applyFill="1" applyBorder="1" applyAlignment="1" applyProtection="1">
      <alignment horizontal="right" vertical="center"/>
      <protection hidden="1"/>
    </xf>
    <xf numFmtId="184" fontId="0" fillId="2" borderId="5" xfId="0" applyNumberFormat="1" applyFill="1" applyBorder="1" applyAlignment="1" applyProtection="1">
      <alignment horizontal="center" vertical="center"/>
      <protection hidden="1"/>
    </xf>
    <xf numFmtId="49" fontId="0" fillId="6" borderId="2" xfId="0" applyNumberFormat="1" applyFill="1" applyBorder="1" applyAlignment="1" applyProtection="1">
      <alignment horizontal="right" vertical="center"/>
      <protection hidden="1"/>
    </xf>
    <xf numFmtId="49" fontId="0" fillId="6" borderId="3" xfId="0" applyNumberFormat="1" applyFill="1" applyBorder="1" applyAlignment="1" applyProtection="1">
      <alignment horizontal="right" vertical="center"/>
      <protection hidden="1"/>
    </xf>
    <xf numFmtId="49" fontId="0" fillId="6" borderId="4" xfId="0" applyNumberFormat="1" applyFill="1" applyBorder="1" applyAlignment="1" applyProtection="1">
      <alignment horizontal="right" vertical="center"/>
      <protection hidden="1"/>
    </xf>
    <xf numFmtId="43" fontId="0" fillId="6" borderId="2" xfId="1" applyFont="1" applyFill="1" applyBorder="1" applyAlignment="1" applyProtection="1">
      <alignment horizontal="right" vertical="center"/>
      <protection hidden="1"/>
    </xf>
    <xf numFmtId="43" fontId="0" fillId="6" borderId="3" xfId="1" applyFont="1" applyFill="1" applyBorder="1" applyAlignment="1" applyProtection="1">
      <alignment horizontal="right" vertical="center"/>
      <protection hidden="1"/>
    </xf>
    <xf numFmtId="43" fontId="0" fillId="6" borderId="4" xfId="1" applyFont="1" applyFill="1" applyBorder="1" applyAlignment="1" applyProtection="1">
      <alignment horizontal="right" vertical="center"/>
      <protection hidden="1"/>
    </xf>
    <xf numFmtId="0" fontId="27" fillId="21" borderId="2" xfId="4" applyNumberFormat="1" applyFont="1" applyFill="1" applyBorder="1" applyAlignment="1" applyProtection="1">
      <alignment horizontal="left" vertical="center" wrapText="1"/>
      <protection locked="0"/>
    </xf>
    <xf numFmtId="0" fontId="27" fillId="21" borderId="3" xfId="4" applyNumberFormat="1" applyFont="1" applyFill="1" applyBorder="1" applyAlignment="1" applyProtection="1">
      <alignment horizontal="left" vertical="center" wrapText="1"/>
      <protection locked="0"/>
    </xf>
    <xf numFmtId="0" fontId="27" fillId="21" borderId="4" xfId="4" applyNumberFormat="1" applyFont="1" applyFill="1" applyBorder="1" applyAlignment="1" applyProtection="1">
      <alignment horizontal="left" vertical="center" wrapText="1"/>
      <protection locked="0"/>
    </xf>
    <xf numFmtId="0" fontId="29" fillId="13" borderId="1" xfId="4" applyNumberFormat="1" applyFont="1" applyFill="1" applyBorder="1" applyAlignment="1" applyProtection="1">
      <alignment horizontal="center" vertical="center" textRotation="255" wrapText="1"/>
    </xf>
    <xf numFmtId="43" fontId="7" fillId="2" borderId="1" xfId="3" applyFont="1" applyFill="1" applyBorder="1" applyAlignment="1" applyProtection="1">
      <alignment horizontal="center" vertical="center" wrapText="1"/>
    </xf>
    <xf numFmtId="186" fontId="7" fillId="2" borderId="1" xfId="5" applyNumberFormat="1" applyFont="1" applyFill="1" applyBorder="1" applyAlignment="1" applyProtection="1">
      <alignment horizontal="center" vertical="center" wrapText="1"/>
    </xf>
    <xf numFmtId="179" fontId="7" fillId="9" borderId="1" xfId="3" applyNumberFormat="1" applyFont="1" applyFill="1" applyBorder="1" applyAlignment="1" applyProtection="1">
      <alignment horizontal="center" vertical="center" textRotation="255" wrapText="1"/>
    </xf>
    <xf numFmtId="179" fontId="7" fillId="13" borderId="1" xfId="3" applyNumberFormat="1" applyFont="1" applyFill="1" applyBorder="1" applyAlignment="1" applyProtection="1">
      <alignment horizontal="center" vertical="center" textRotation="255" wrapText="1"/>
    </xf>
    <xf numFmtId="179" fontId="7" fillId="2" borderId="1" xfId="3" applyNumberFormat="1" applyFont="1" applyFill="1" applyBorder="1" applyAlignment="1" applyProtection="1">
      <alignment horizontal="center" vertical="center"/>
    </xf>
    <xf numFmtId="43" fontId="7" fillId="0" borderId="1" xfId="3" applyFont="1" applyFill="1" applyBorder="1" applyAlignment="1" applyProtection="1">
      <alignment horizontal="center" vertical="center" wrapText="1"/>
    </xf>
    <xf numFmtId="179" fontId="7" fillId="11" borderId="1" xfId="3" applyNumberFormat="1" applyFont="1" applyFill="1" applyBorder="1" applyAlignment="1" applyProtection="1">
      <alignment horizontal="center" vertical="center" textRotation="255"/>
    </xf>
    <xf numFmtId="43" fontId="7" fillId="11" borderId="1" xfId="3" applyFont="1" applyFill="1" applyBorder="1" applyAlignment="1" applyProtection="1">
      <alignment horizontal="center" vertical="center" wrapText="1"/>
    </xf>
    <xf numFmtId="179" fontId="30" fillId="13" borderId="1" xfId="3" applyNumberFormat="1" applyFont="1" applyFill="1" applyBorder="1" applyAlignment="1" applyProtection="1">
      <alignment horizontal="center" vertical="center" textRotation="255" wrapText="1"/>
    </xf>
    <xf numFmtId="179" fontId="7" fillId="9" borderId="1" xfId="3" applyNumberFormat="1" applyFont="1" applyFill="1" applyBorder="1" applyAlignment="1" applyProtection="1">
      <alignment horizontal="center" vertical="center" textRotation="255"/>
    </xf>
    <xf numFmtId="179" fontId="7" fillId="13" borderId="5" xfId="3" applyNumberFormat="1" applyFont="1" applyFill="1" applyBorder="1" applyAlignment="1" applyProtection="1">
      <alignment horizontal="center" vertical="center" textRotation="255" wrapText="1"/>
    </xf>
    <xf numFmtId="179" fontId="7" fillId="13" borderId="7" xfId="3" applyNumberFormat="1" applyFont="1" applyFill="1" applyBorder="1" applyAlignment="1" applyProtection="1">
      <alignment horizontal="center" vertical="center" textRotation="255" wrapText="1"/>
    </xf>
    <xf numFmtId="179" fontId="7" fillId="13" borderId="6" xfId="3" applyNumberFormat="1" applyFont="1" applyFill="1" applyBorder="1" applyAlignment="1" applyProtection="1">
      <alignment horizontal="center" vertical="center" textRotation="255" wrapText="1"/>
    </xf>
    <xf numFmtId="43" fontId="0" fillId="2" borderId="2" xfId="1" applyFont="1" applyFill="1" applyBorder="1" applyAlignment="1" applyProtection="1">
      <alignment horizontal="center" vertical="center" wrapText="1"/>
    </xf>
    <xf numFmtId="43" fontId="0" fillId="0" borderId="4" xfId="1" applyFont="1" applyBorder="1" applyAlignment="1" applyProtection="1">
      <alignment horizontal="center" vertical="center" wrapText="1"/>
    </xf>
    <xf numFmtId="43" fontId="0" fillId="11" borderId="2" xfId="1" applyFont="1" applyFill="1" applyBorder="1" applyAlignment="1" applyProtection="1">
      <alignment horizontal="center" vertical="center"/>
    </xf>
    <xf numFmtId="43" fontId="0" fillId="11" borderId="3" xfId="1" applyFont="1" applyFill="1" applyBorder="1" applyAlignment="1" applyProtection="1">
      <alignment horizontal="center" vertical="center"/>
    </xf>
    <xf numFmtId="43" fontId="0" fillId="11" borderId="4" xfId="1" applyFont="1" applyFill="1" applyBorder="1" applyAlignment="1" applyProtection="1">
      <alignment horizontal="center" vertical="center"/>
    </xf>
    <xf numFmtId="179" fontId="7" fillId="11" borderId="1" xfId="3" applyNumberFormat="1" applyFont="1" applyFill="1" applyBorder="1" applyAlignment="1" applyProtection="1">
      <alignment horizontal="center" vertical="center" textRotation="255" wrapText="1"/>
    </xf>
    <xf numFmtId="179" fontId="7" fillId="2" borderId="4" xfId="3" applyNumberFormat="1" applyFont="1" applyFill="1" applyBorder="1" applyAlignment="1" applyProtection="1">
      <alignment horizontal="center" vertical="center"/>
    </xf>
    <xf numFmtId="43" fontId="7" fillId="11" borderId="2" xfId="3" applyFont="1" applyFill="1" applyBorder="1" applyAlignment="1" applyProtection="1">
      <alignment horizontal="center" vertical="center" wrapText="1"/>
    </xf>
    <xf numFmtId="43" fontId="0" fillId="2" borderId="3" xfId="1" applyFont="1" applyFill="1" applyBorder="1" applyAlignment="1" applyProtection="1">
      <alignment horizontal="center" vertical="center"/>
    </xf>
    <xf numFmtId="9" fontId="0" fillId="25" borderId="2" xfId="2" applyFont="1" applyFill="1" applyBorder="1" applyAlignment="1">
      <alignment horizontal="center" vertical="center"/>
    </xf>
    <xf numFmtId="9" fontId="0" fillId="25" borderId="3" xfId="2" applyFont="1" applyFill="1" applyBorder="1" applyAlignment="1">
      <alignment horizontal="center" vertical="center"/>
    </xf>
    <xf numFmtId="0" fontId="0" fillId="25" borderId="2" xfId="0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/>
    </xf>
    <xf numFmtId="10" fontId="0" fillId="21" borderId="2" xfId="2" applyNumberFormat="1" applyFont="1" applyFill="1" applyBorder="1" applyAlignment="1">
      <alignment horizontal="center" vertical="center"/>
    </xf>
    <xf numFmtId="10" fontId="0" fillId="21" borderId="3" xfId="2" applyNumberFormat="1" applyFont="1" applyFill="1" applyBorder="1" applyAlignment="1">
      <alignment horizontal="center" vertical="center"/>
    </xf>
    <xf numFmtId="10" fontId="0" fillId="21" borderId="4" xfId="2" applyNumberFormat="1" applyFont="1" applyFill="1" applyBorder="1" applyAlignment="1">
      <alignment horizontal="center" vertical="center"/>
    </xf>
    <xf numFmtId="10" fontId="0" fillId="25" borderId="2" xfId="2" applyNumberFormat="1" applyFont="1" applyFill="1" applyBorder="1" applyAlignment="1">
      <alignment horizontal="center" vertical="center"/>
    </xf>
    <xf numFmtId="10" fontId="0" fillId="25" borderId="3" xfId="2" applyNumberFormat="1" applyFont="1" applyFill="1" applyBorder="1" applyAlignment="1">
      <alignment horizontal="center" vertical="center"/>
    </xf>
    <xf numFmtId="10" fontId="0" fillId="25" borderId="4" xfId="2" applyNumberFormat="1" applyFont="1" applyFill="1" applyBorder="1" applyAlignment="1">
      <alignment horizontal="center" vertical="center"/>
    </xf>
    <xf numFmtId="176" fontId="13" fillId="16" borderId="1" xfId="8" applyNumberFormat="1" applyFill="1" applyBorder="1" applyAlignment="1">
      <alignment horizontal="center" vertical="center"/>
    </xf>
    <xf numFmtId="176" fontId="13" fillId="16" borderId="1" xfId="8" applyNumberFormat="1" applyFill="1" applyBorder="1">
      <alignment vertical="center"/>
    </xf>
    <xf numFmtId="0" fontId="13" fillId="17" borderId="1" xfId="8" applyFill="1" applyBorder="1" applyAlignment="1">
      <alignment horizontal="center" vertical="center"/>
    </xf>
    <xf numFmtId="0" fontId="1" fillId="2" borderId="1" xfId="8" applyFont="1" applyFill="1" applyBorder="1" applyAlignment="1">
      <alignment horizontal="center" vertical="center"/>
    </xf>
    <xf numFmtId="9" fontId="0" fillId="2" borderId="1" xfId="7" applyFont="1" applyFill="1" applyBorder="1" applyAlignment="1">
      <alignment horizontal="center" vertical="center"/>
    </xf>
    <xf numFmtId="49" fontId="0" fillId="2" borderId="1" xfId="7" applyNumberFormat="1" applyFont="1" applyFill="1" applyBorder="1" applyAlignment="1">
      <alignment horizontal="center" vertical="center"/>
    </xf>
    <xf numFmtId="0" fontId="13" fillId="2" borderId="1" xfId="8" applyFill="1" applyBorder="1" applyAlignment="1">
      <alignment horizontal="center" vertical="center"/>
    </xf>
    <xf numFmtId="9" fontId="13" fillId="10" borderId="1" xfId="8" applyNumberFormat="1" applyFill="1" applyBorder="1" applyAlignment="1" applyProtection="1">
      <alignment horizontal="center" vertical="center"/>
      <protection locked="0"/>
    </xf>
  </cellXfs>
  <cellStyles count="11">
    <cellStyle name="一般" xfId="0" builtinId="0"/>
    <cellStyle name="一般 2" xfId="8" xr:uid="{00000000-0005-0000-0000-000001000000}"/>
    <cellStyle name="一般 4" xfId="4" xr:uid="{00000000-0005-0000-0000-000002000000}"/>
    <cellStyle name="千分位" xfId="1" builtinId="3"/>
    <cellStyle name="千分位 2" xfId="3" xr:uid="{00000000-0005-0000-0000-000004000000}"/>
    <cellStyle name="千分位 3" xfId="9" xr:uid="{00000000-0005-0000-0000-000005000000}"/>
    <cellStyle name="百分比" xfId="2" builtinId="5"/>
    <cellStyle name="百分比 2" xfId="5" xr:uid="{00000000-0005-0000-0000-000007000000}"/>
    <cellStyle name="百分比 3" xfId="7" xr:uid="{00000000-0005-0000-0000-000008000000}"/>
    <cellStyle name="貨幣 2" xfId="6" xr:uid="{00000000-0005-0000-0000-000009000000}"/>
    <cellStyle name="超連結" xfId="10" builtinId="8"/>
  </cellStyles>
  <dxfs count="17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  <color rgb="FFFFFFC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microsoft.com/office/2006/relationships/vbaProject" Target="vbaProject.bin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TW"/>
              <a:t>資產趨勢圖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>
        <c:manualLayout>
          <c:layoutTarget val="inner"/>
          <c:xMode val="edge"/>
          <c:yMode val="edge"/>
          <c:x val="6.4316307647634213E-2"/>
          <c:y val="0.10888645832319097"/>
          <c:w val="0.90389234372956329"/>
          <c:h val="0.76628379847653294"/>
        </c:manualLayout>
      </c:layout>
      <c:lineChart>
        <c:grouping val="standard"/>
        <c:varyColors val="0"/>
        <c:ser>
          <c:idx val="1"/>
          <c:order val="0"/>
          <c:tx>
            <c:strRef>
              <c:f>'4.退休金試算'!$I$1</c:f>
              <c:strCache>
                <c:ptCount val="1"/>
                <c:pt idx="0">
                  <c:v>年生活費 226 萬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cat>
            <c:strRef>
              <c:f>'4.退休金試算'!$E$3:$E$29</c:f>
              <c:strCache>
                <c:ptCount val="27"/>
                <c:pt idx="0">
                  <c:v>期初</c:v>
                </c:pt>
                <c:pt idx="1">
                  <c:v>1999 </c:v>
                </c:pt>
                <c:pt idx="2">
                  <c:v>2000 </c:v>
                </c:pt>
                <c:pt idx="3">
                  <c:v>2001 </c:v>
                </c:pt>
                <c:pt idx="4">
                  <c:v>2002 </c:v>
                </c:pt>
                <c:pt idx="5">
                  <c:v>2003 </c:v>
                </c:pt>
                <c:pt idx="6">
                  <c:v>2004 </c:v>
                </c:pt>
                <c:pt idx="7">
                  <c:v>2005 </c:v>
                </c:pt>
                <c:pt idx="8">
                  <c:v>2006 </c:v>
                </c:pt>
                <c:pt idx="9">
                  <c:v>2007 </c:v>
                </c:pt>
                <c:pt idx="10">
                  <c:v>2008 </c:v>
                </c:pt>
                <c:pt idx="11">
                  <c:v>2009 </c:v>
                </c:pt>
                <c:pt idx="12">
                  <c:v>2010 </c:v>
                </c:pt>
                <c:pt idx="13">
                  <c:v>2011 </c:v>
                </c:pt>
                <c:pt idx="14">
                  <c:v>2012 </c:v>
                </c:pt>
                <c:pt idx="15">
                  <c:v>2013 </c:v>
                </c:pt>
                <c:pt idx="16">
                  <c:v>2014 </c:v>
                </c:pt>
                <c:pt idx="17">
                  <c:v>2015 </c:v>
                </c:pt>
                <c:pt idx="18">
                  <c:v>2016 </c:v>
                </c:pt>
                <c:pt idx="19">
                  <c:v>2017 </c:v>
                </c:pt>
                <c:pt idx="20">
                  <c:v>2018 </c:v>
                </c:pt>
                <c:pt idx="21">
                  <c:v>2019 </c:v>
                </c:pt>
                <c:pt idx="22">
                  <c:v>2020 </c:v>
                </c:pt>
                <c:pt idx="23">
                  <c:v>2021 </c:v>
                </c:pt>
                <c:pt idx="24">
                  <c:v>2022 </c:v>
                </c:pt>
                <c:pt idx="25">
                  <c:v>2023 </c:v>
                </c:pt>
                <c:pt idx="26">
                  <c:v>2024 </c:v>
                </c:pt>
              </c:strCache>
            </c:strRef>
          </c:cat>
          <c:val>
            <c:numRef>
              <c:f>'4.退休金試算'!$J$3:$J$29</c:f>
              <c:numCache>
                <c:formatCode>_(* #,##0.00_);_(* \(#,##0.00\);_(* "-"??_);_(@_)</c:formatCode>
                <c:ptCount val="27"/>
                <c:pt idx="0">
                  <c:v>11306.400820132756</c:v>
                </c:pt>
                <c:pt idx="1">
                  <c:v>19868.82513353329</c:v>
                </c:pt>
                <c:pt idx="2">
                  <c:v>11917.503036595894</c:v>
                </c:pt>
                <c:pt idx="3">
                  <c:v>7759.1455736273701</c:v>
                </c:pt>
                <c:pt idx="4">
                  <c:v>4627.619906568897</c:v>
                </c:pt>
                <c:pt idx="5">
                  <c:v>6442.1665022949082</c:v>
                </c:pt>
                <c:pt idx="6">
                  <c:v>6729.5822270546778</c:v>
                </c:pt>
                <c:pt idx="7">
                  <c:v>6512.758661321931</c:v>
                </c:pt>
                <c:pt idx="8">
                  <c:v>6621.2470983079384</c:v>
                </c:pt>
                <c:pt idx="9">
                  <c:v>7465.9041508791124</c:v>
                </c:pt>
                <c:pt idx="10">
                  <c:v>4159.573399461714</c:v>
                </c:pt>
                <c:pt idx="11">
                  <c:v>5929.3172651537379</c:v>
                </c:pt>
                <c:pt idx="12">
                  <c:v>6601.8534984680737</c:v>
                </c:pt>
                <c:pt idx="13">
                  <c:v>6377.6903517133851</c:v>
                </c:pt>
                <c:pt idx="14">
                  <c:v>6918.8336431250982</c:v>
                </c:pt>
                <c:pt idx="15">
                  <c:v>8669.1872375834846</c:v>
                </c:pt>
                <c:pt idx="16">
                  <c:v>9807.2019056865374</c:v>
                </c:pt>
                <c:pt idx="17">
                  <c:v>10181.602442519968</c:v>
                </c:pt>
                <c:pt idx="18">
                  <c:v>10618.968714680395</c:v>
                </c:pt>
                <c:pt idx="19">
                  <c:v>13360.556371860321</c:v>
                </c:pt>
                <c:pt idx="20">
                  <c:v>12778.483944609261</c:v>
                </c:pt>
                <c:pt idx="21">
                  <c:v>17418.378180931704</c:v>
                </c:pt>
                <c:pt idx="22">
                  <c:v>24873.426402917634</c:v>
                </c:pt>
                <c:pt idx="23">
                  <c:v>30857.511317315078</c:v>
                </c:pt>
                <c:pt idx="24">
                  <c:v>20292.950312718818</c:v>
                </c:pt>
                <c:pt idx="25">
                  <c:v>30233.107231975086</c:v>
                </c:pt>
                <c:pt idx="26">
                  <c:v>37487.737799666647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0F2-40E4-BDF4-B9F011BABE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2094734553"/>
        <c:crosses val="autoZero"/>
        <c:auto val="1"/>
        <c:lblAlgn val="ctr"/>
        <c:lblOffset val="200"/>
        <c:tickLblSkip val="2"/>
        <c:tickMarkSkip val="1"/>
        <c:noMultiLvlLbl val="1"/>
      </c:catAx>
      <c:valAx>
        <c:axId val="2094734553"/>
        <c:scaling>
          <c:orientation val="minMax"/>
        </c:scaling>
        <c:delete val="0"/>
        <c:axPos val="l"/>
        <c:numFmt formatCode="#,##0_);[Red]\(#,##0\)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2094734552"/>
        <c:crosses val="autoZero"/>
        <c:crossBetween val="midCat"/>
        <c:minorUnit val="100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showDLblsOverMax val="1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TW" altLang="en-US"/>
              <a:t>資產總結餘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'5.資產配置回測'!$H$2</c:f>
              <c:strCache>
                <c:ptCount val="1"/>
                <c:pt idx="0">
                  <c:v> 年結餘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'5.資產配置回測'!$E$4:$E$29</c:f>
              <c:numCache>
                <c:formatCode>####</c:formatCode>
                <c:ptCount val="26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</c:numCache>
            </c:numRef>
          </c:cat>
          <c:val>
            <c:numRef>
              <c:f>'5.資產配置回測'!$H$4:$H$29</c:f>
              <c:numCache>
                <c:formatCode>_(* #,##0.00_);_(* \(#,##0.00\);_(* "-"??_);_(@_)</c:formatCode>
                <c:ptCount val="26"/>
                <c:pt idx="0">
                  <c:v>11915.777166646825</c:v>
                </c:pt>
                <c:pt idx="1">
                  <c:v>7461.3963751324045</c:v>
                </c:pt>
                <c:pt idx="2">
                  <c:v>5550.863226036503</c:v>
                </c:pt>
                <c:pt idx="3">
                  <c:v>4283.9708167379749</c:v>
                </c:pt>
                <c:pt idx="4">
                  <c:v>5480.1392051067924</c:v>
                </c:pt>
                <c:pt idx="5">
                  <c:v>5767.4146655509503</c:v>
                </c:pt>
                <c:pt idx="6">
                  <c:v>5803.5043911302964</c:v>
                </c:pt>
                <c:pt idx="7">
                  <c:v>5972.9658287243074</c:v>
                </c:pt>
                <c:pt idx="8">
                  <c:v>6565.9705510341746</c:v>
                </c:pt>
                <c:pt idx="9">
                  <c:v>4657.5995972081228</c:v>
                </c:pt>
                <c:pt idx="10">
                  <c:v>6015.653340996334</c:v>
                </c:pt>
                <c:pt idx="11">
                  <c:v>6684.6470117864692</c:v>
                </c:pt>
                <c:pt idx="12">
                  <c:v>6742.3167823903677</c:v>
                </c:pt>
                <c:pt idx="13">
                  <c:v>7570.4834267445131</c:v>
                </c:pt>
                <c:pt idx="14">
                  <c:v>9582.9779345922725</c:v>
                </c:pt>
                <c:pt idx="15">
                  <c:v>11029.446840605407</c:v>
                </c:pt>
                <c:pt idx="16">
                  <c:v>11581.307165879298</c:v>
                </c:pt>
                <c:pt idx="17">
                  <c:v>12331.490220420661</c:v>
                </c:pt>
                <c:pt idx="18">
                  <c:v>16196.713626156674</c:v>
                </c:pt>
                <c:pt idx="19">
                  <c:v>15523.649298028857</c:v>
                </c:pt>
                <c:pt idx="20">
                  <c:v>22110.7869172547</c:v>
                </c:pt>
                <c:pt idx="21">
                  <c:v>32460.816862215317</c:v>
                </c:pt>
                <c:pt idx="22">
                  <c:v>41815.613691300023</c:v>
                </c:pt>
                <c:pt idx="23">
                  <c:v>26540.53269046672</c:v>
                </c:pt>
                <c:pt idx="24">
                  <c:v>40009.46136659701</c:v>
                </c:pt>
                <c:pt idx="25">
                  <c:v>49055.737878632863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51-4A83-924C-A95C0045D1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53379824"/>
        <c:axId val="653377664"/>
      </c:lineChart>
      <c:catAx>
        <c:axId val="653379824"/>
        <c:scaling>
          <c:orientation val="minMax"/>
        </c:scaling>
        <c:delete val="0"/>
        <c:axPos val="b"/>
        <c:numFmt formatCode="####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653377664"/>
        <c:crosses val="autoZero"/>
        <c:auto val="1"/>
        <c:lblAlgn val="ctr"/>
        <c:lblOffset val="100"/>
        <c:noMultiLvlLbl val="0"/>
      </c:catAx>
      <c:valAx>
        <c:axId val="653377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653379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174971</xdr:colOff>
      <xdr:row>5</xdr:row>
      <xdr:rowOff>15527</xdr:rowOff>
    </xdr:from>
    <xdr:to>
      <xdr:col>19</xdr:col>
      <xdr:colOff>515471</xdr:colOff>
      <xdr:row>21</xdr:row>
      <xdr:rowOff>7471</xdr:rowOff>
    </xdr:to>
    <xdr:graphicFrame macro="">
      <xdr:nvGraphicFramePr>
        <xdr:cNvPr id="2" name="圖表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819150</xdr:colOff>
          <xdr:row>27</xdr:row>
          <xdr:rowOff>31750</xdr:rowOff>
        </xdr:from>
        <xdr:to>
          <xdr:col>1</xdr:col>
          <xdr:colOff>1409700</xdr:colOff>
          <xdr:row>27</xdr:row>
          <xdr:rowOff>292100</xdr:rowOff>
        </xdr:to>
        <xdr:sp macro="" textlink="">
          <xdr:nvSpPr>
            <xdr:cNvPr id="1045" name="Button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6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zh-TW" altLang="en-US" sz="1000" b="0" i="0" u="none" strike="noStrike" baseline="0">
                  <a:solidFill>
                    <a:srgbClr val="000000"/>
                  </a:solidFill>
                  <a:latin typeface="新細明體"/>
                  <a:ea typeface="新細明體"/>
                </a:rPr>
                <a:t>計算</a:t>
              </a:r>
            </a:p>
            <a:p>
              <a:pPr algn="ctr" rtl="0">
                <a:defRPr sz="1000"/>
              </a:pPr>
              <a:endParaRPr lang="zh-TW" altLang="en-US" sz="1000" b="0" i="0" u="none" strike="noStrike" baseline="0">
                <a:solidFill>
                  <a:srgbClr val="000000"/>
                </a:solidFill>
                <a:latin typeface="新細明體"/>
                <a:ea typeface="新細明體"/>
              </a:endParaRP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81643</xdr:colOff>
      <xdr:row>29</xdr:row>
      <xdr:rowOff>16865</xdr:rowOff>
    </xdr:from>
    <xdr:to>
      <xdr:col>20</xdr:col>
      <xdr:colOff>698500</xdr:colOff>
      <xdr:row>37</xdr:row>
      <xdr:rowOff>9071</xdr:rowOff>
    </xdr:to>
    <xdr:graphicFrame macro="">
      <xdr:nvGraphicFramePr>
        <xdr:cNvPr id="3" name="圖表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19050</xdr:colOff>
          <xdr:row>0</xdr:row>
          <xdr:rowOff>12700</xdr:rowOff>
        </xdr:from>
        <xdr:to>
          <xdr:col>0</xdr:col>
          <xdr:colOff>933450</xdr:colOff>
          <xdr:row>2</xdr:row>
          <xdr:rowOff>0</xdr:rowOff>
        </xdr:to>
        <xdr:sp macro="" textlink="">
          <xdr:nvSpPr>
            <xdr:cNvPr id="23553" name="Button 1" hidden="1">
              <a:extLst>
                <a:ext uri="{63B3BB69-23CF-44E3-9099-C40C66FF867C}">
                  <a14:compatExt spid="_x0000_s23553"/>
                </a:ext>
                <a:ext uri="{FF2B5EF4-FFF2-40B4-BE49-F238E27FC236}">
                  <a16:creationId xmlns:a16="http://schemas.microsoft.com/office/drawing/2014/main" id="{00000000-0008-0000-0800-00000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zh-TW" altLang="en-US" sz="1200" b="0" i="0" u="none" strike="noStrike" baseline="0">
                  <a:solidFill>
                    <a:srgbClr val="000000"/>
                  </a:solidFill>
                  <a:latin typeface="新細明體"/>
                  <a:ea typeface="新細明體"/>
                </a:rPr>
                <a:t>計算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morningstar.com/etfs/arcx/qld/chart" TargetMode="External"/><Relationship Id="rId1" Type="http://schemas.openxmlformats.org/officeDocument/2006/relationships/hyperlink" Target="https://www.morningstar.com/etfs/xnas/qqq/chart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mortgage.591.com.tw/calculator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Relationship Id="rId5" Type="http://schemas.openxmlformats.org/officeDocument/2006/relationships/comments" Target="../comments4.xml"/><Relationship Id="rId4" Type="http://schemas.openxmlformats.org/officeDocument/2006/relationships/ctrlProp" Target="../ctrlProps/ctrlProp1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Relationship Id="rId4" Type="http://schemas.openxmlformats.org/officeDocument/2006/relationships/ctrlProp" Target="../ctrlProps/ctrlProp2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工作表1"/>
  <dimension ref="A1:K28"/>
  <sheetViews>
    <sheetView zoomScale="70" zoomScaleNormal="70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D33" sqref="D33"/>
    </sheetView>
  </sheetViews>
  <sheetFormatPr defaultRowHeight="17" x14ac:dyDescent="0.4"/>
  <cols>
    <col min="1" max="1" width="5.36328125" style="8" bestFit="1" customWidth="1"/>
    <col min="2" max="5" width="8.26953125" style="14" bestFit="1" customWidth="1"/>
    <col min="6" max="6" width="8.26953125" style="12" bestFit="1" customWidth="1"/>
    <col min="7" max="7" width="8.54296875" style="14" bestFit="1" customWidth="1"/>
    <col min="8" max="8" width="8.26953125" style="14" bestFit="1" customWidth="1"/>
    <col min="9" max="10" width="7.26953125" style="14" bestFit="1" customWidth="1"/>
    <col min="11" max="11" width="8.54296875" style="12" bestFit="1" customWidth="1"/>
    <col min="12" max="12" width="9.26953125" style="1" bestFit="1" customWidth="1"/>
    <col min="13" max="16384" width="8.7265625" style="1"/>
  </cols>
  <sheetData>
    <row r="1" spans="1:11" x14ac:dyDescent="0.4">
      <c r="A1" s="209" t="s">
        <v>32</v>
      </c>
      <c r="B1" s="211" t="s">
        <v>4</v>
      </c>
      <c r="C1" s="212"/>
      <c r="D1" s="212"/>
      <c r="E1" s="212"/>
      <c r="F1" s="213"/>
      <c r="G1" s="211" t="s">
        <v>5</v>
      </c>
      <c r="H1" s="212"/>
      <c r="I1" s="212"/>
      <c r="J1" s="212"/>
      <c r="K1" s="213"/>
    </row>
    <row r="2" spans="1:11" s="2" customFormat="1" x14ac:dyDescent="0.4">
      <c r="A2" s="210"/>
      <c r="B2" s="6" t="s">
        <v>117</v>
      </c>
      <c r="C2" s="6" t="s">
        <v>2</v>
      </c>
      <c r="D2" s="6" t="s">
        <v>3</v>
      </c>
      <c r="E2" s="6" t="s">
        <v>1</v>
      </c>
      <c r="F2" s="5" t="s">
        <v>118</v>
      </c>
      <c r="G2" s="6" t="s">
        <v>117</v>
      </c>
      <c r="H2" s="6" t="s">
        <v>2</v>
      </c>
      <c r="I2" s="6" t="s">
        <v>3</v>
      </c>
      <c r="J2" s="6" t="s">
        <v>1</v>
      </c>
      <c r="K2" s="5" t="s">
        <v>118</v>
      </c>
    </row>
    <row r="3" spans="1:11" x14ac:dyDescent="0.4">
      <c r="A3" s="8">
        <v>1999</v>
      </c>
      <c r="B3" s="14">
        <v>91.38</v>
      </c>
      <c r="C3" s="14">
        <v>93.72</v>
      </c>
      <c r="D3" s="14">
        <v>48.3</v>
      </c>
      <c r="E3" s="14">
        <v>50.96</v>
      </c>
      <c r="G3" s="14">
        <v>13.916909766015927</v>
      </c>
      <c r="H3" s="14">
        <v>14.323769604885769</v>
      </c>
      <c r="I3" s="14">
        <v>3.5827940208946893</v>
      </c>
      <c r="J3" s="14">
        <v>4.3077442246863011</v>
      </c>
    </row>
    <row r="4" spans="1:11" x14ac:dyDescent="0.4">
      <c r="A4" s="8">
        <v>2000</v>
      </c>
      <c r="B4" s="14">
        <v>58.38</v>
      </c>
      <c r="C4" s="14">
        <v>120.48</v>
      </c>
      <c r="D4" s="14">
        <v>54.38</v>
      </c>
      <c r="E4" s="14">
        <v>96.19</v>
      </c>
      <c r="F4" s="10">
        <f t="shared" ref="F4:F28" si="0">(E4-E3)/E3</f>
        <v>0.88755886970172682</v>
      </c>
      <c r="G4" s="14">
        <v>5.1587532263210818</v>
      </c>
      <c r="H4" s="14">
        <v>21.822742435568706</v>
      </c>
      <c r="I4" s="14">
        <v>4.0852304288910037</v>
      </c>
      <c r="J4" s="14">
        <v>17.01115804626221</v>
      </c>
      <c r="K4" s="10">
        <f t="shared" ref="K4:K28" si="1">(J4-J3)/J3</f>
        <v>2.9489712385374967</v>
      </c>
    </row>
    <row r="5" spans="1:11" x14ac:dyDescent="0.4">
      <c r="A5" s="8">
        <v>2001</v>
      </c>
      <c r="B5" s="14">
        <v>38.909999999999997</v>
      </c>
      <c r="C5" s="14">
        <v>69.09</v>
      </c>
      <c r="D5" s="14">
        <v>27.23</v>
      </c>
      <c r="E5" s="14">
        <v>58.56</v>
      </c>
      <c r="F5" s="10">
        <f t="shared" si="0"/>
        <v>-0.39120490695498489</v>
      </c>
      <c r="G5" s="14">
        <v>2.3552533900144046</v>
      </c>
      <c r="H5" s="14">
        <v>6.4695685936164242</v>
      </c>
      <c r="I5" s="14">
        <v>1.1110706651956979</v>
      </c>
      <c r="J5" s="14">
        <v>3.3610158764355345</v>
      </c>
      <c r="K5" s="10">
        <f t="shared" si="1"/>
        <v>-0.80242286461067613</v>
      </c>
    </row>
    <row r="6" spans="1:11" x14ac:dyDescent="0.4">
      <c r="A6" s="8">
        <v>2002</v>
      </c>
      <c r="B6" s="14">
        <v>24.37</v>
      </c>
      <c r="C6" s="14">
        <v>42.59</v>
      </c>
      <c r="D6" s="14">
        <v>19.760000000000002</v>
      </c>
      <c r="E6" s="14">
        <v>39.56</v>
      </c>
      <c r="F6" s="10">
        <f t="shared" si="0"/>
        <v>-0.32445355191256831</v>
      </c>
      <c r="G6" s="14">
        <v>0.91918395478258419</v>
      </c>
      <c r="H6" s="14">
        <v>2.3082653795857855</v>
      </c>
      <c r="I6" s="14">
        <v>0.58637807291272181</v>
      </c>
      <c r="J6" s="14">
        <v>1.7034028787857249</v>
      </c>
      <c r="K6" s="10">
        <f t="shared" si="1"/>
        <v>-0.49318808913445583</v>
      </c>
    </row>
    <row r="7" spans="1:11" x14ac:dyDescent="0.4">
      <c r="A7" s="8">
        <v>2003</v>
      </c>
      <c r="B7" s="14">
        <v>36.46</v>
      </c>
      <c r="C7" s="14">
        <v>36.64</v>
      </c>
      <c r="D7" s="14">
        <v>23.32</v>
      </c>
      <c r="E7" s="14">
        <v>24.75</v>
      </c>
      <c r="F7" s="10">
        <f t="shared" si="0"/>
        <v>-0.37436804853387262</v>
      </c>
      <c r="G7" s="14">
        <v>2.0215777933027983</v>
      </c>
      <c r="H7" s="14">
        <v>2.2859379999999989</v>
      </c>
      <c r="I7" s="14">
        <v>0.81669694972967943</v>
      </c>
      <c r="J7" s="14">
        <v>0.94497296898946137</v>
      </c>
      <c r="K7" s="10">
        <f t="shared" si="1"/>
        <v>-0.44524399908077661</v>
      </c>
    </row>
    <row r="8" spans="1:11" x14ac:dyDescent="0.4">
      <c r="A8" s="8">
        <v>2004</v>
      </c>
      <c r="B8" s="14">
        <v>39.92</v>
      </c>
      <c r="C8" s="14">
        <v>40.68</v>
      </c>
      <c r="D8" s="14">
        <v>32</v>
      </c>
      <c r="E8" s="14">
        <v>36.659999999999997</v>
      </c>
      <c r="F8" s="10">
        <f t="shared" si="0"/>
        <v>0.48121212121212109</v>
      </c>
      <c r="G8" s="14">
        <v>2.4175621606669035</v>
      </c>
      <c r="H8" s="14">
        <v>2.4871221860165669</v>
      </c>
      <c r="I8" s="14">
        <v>1.5716374093691177</v>
      </c>
      <c r="J8" s="14">
        <v>1.9964021678985724</v>
      </c>
      <c r="K8" s="10">
        <f t="shared" si="1"/>
        <v>1.1126553175732554</v>
      </c>
    </row>
    <row r="9" spans="1:11" x14ac:dyDescent="0.4">
      <c r="A9" s="8">
        <v>2005</v>
      </c>
      <c r="B9" s="14">
        <v>40.409999999999997</v>
      </c>
      <c r="C9" s="14">
        <v>42.31</v>
      </c>
      <c r="D9" s="14">
        <v>34.35</v>
      </c>
      <c r="E9" s="14">
        <v>40.08</v>
      </c>
      <c r="F9" s="10">
        <f t="shared" si="0"/>
        <v>9.3289689034369946E-2</v>
      </c>
      <c r="G9" s="14">
        <v>2.4855738983210847</v>
      </c>
      <c r="H9" s="14">
        <v>2.8191073936421769</v>
      </c>
      <c r="I9" s="14">
        <v>1.7719737076907083</v>
      </c>
      <c r="J9" s="14">
        <v>2.0680016124422287</v>
      </c>
      <c r="K9" s="10">
        <f t="shared" si="1"/>
        <v>3.5864239027060568E-2</v>
      </c>
    </row>
    <row r="10" spans="1:11" x14ac:dyDescent="0.4">
      <c r="A10" s="8">
        <v>2006</v>
      </c>
      <c r="B10" s="14">
        <v>43.16</v>
      </c>
      <c r="C10" s="14">
        <v>44.76</v>
      </c>
      <c r="D10" s="14">
        <v>35.54</v>
      </c>
      <c r="E10" s="14">
        <v>40.64</v>
      </c>
      <c r="F10" s="10">
        <f t="shared" si="0"/>
        <v>1.397205588822361E-2</v>
      </c>
      <c r="G10" s="14">
        <v>2.5862500000000002</v>
      </c>
      <c r="H10" s="14">
        <v>2.9296880000000001</v>
      </c>
      <c r="I10" s="14">
        <v>1.8968750000000001</v>
      </c>
      <c r="J10" s="14">
        <v>2.5216320376192316</v>
      </c>
      <c r="K10" s="10">
        <f t="shared" si="1"/>
        <v>0.21935690110090542</v>
      </c>
    </row>
    <row r="11" spans="1:11" x14ac:dyDescent="0.4">
      <c r="A11" s="8">
        <v>2007</v>
      </c>
      <c r="B11" s="14">
        <v>51.22</v>
      </c>
      <c r="C11" s="14">
        <v>55.07</v>
      </c>
      <c r="D11" s="14">
        <v>40.549999999999997</v>
      </c>
      <c r="E11" s="14">
        <v>43.46</v>
      </c>
      <c r="F11" s="10">
        <f t="shared" si="0"/>
        <v>6.9389763779527561E-2</v>
      </c>
      <c r="G11" s="14">
        <v>3.1062500000000002</v>
      </c>
      <c r="H11" s="14">
        <v>3.8359380000000001</v>
      </c>
      <c r="I11" s="14">
        <v>2.0165630000000001</v>
      </c>
      <c r="J11" s="14">
        <v>2.5153129999999999</v>
      </c>
      <c r="K11" s="10">
        <f t="shared" si="1"/>
        <v>-2.5059316843062227E-3</v>
      </c>
    </row>
    <row r="12" spans="1:11" x14ac:dyDescent="0.4">
      <c r="A12" s="8">
        <v>2008</v>
      </c>
      <c r="B12" s="14">
        <v>29.74</v>
      </c>
      <c r="C12" s="14">
        <v>51.47</v>
      </c>
      <c r="D12" s="14">
        <v>25.05</v>
      </c>
      <c r="E12" s="14">
        <v>51.27</v>
      </c>
      <c r="F12" s="10">
        <f t="shared" si="0"/>
        <v>0.17970547630004607</v>
      </c>
      <c r="G12" s="14">
        <v>0.84624999999999995</v>
      </c>
      <c r="H12" s="14">
        <v>2.892188</v>
      </c>
      <c r="I12" s="14">
        <v>0.61624999999999996</v>
      </c>
      <c r="J12" s="14">
        <v>2.1481249999999998</v>
      </c>
      <c r="K12" s="10">
        <f t="shared" si="1"/>
        <v>-0.14598103695245884</v>
      </c>
    </row>
    <row r="13" spans="1:11" x14ac:dyDescent="0.4">
      <c r="A13" s="8">
        <v>2009</v>
      </c>
      <c r="B13" s="14">
        <v>45.75</v>
      </c>
      <c r="C13" s="14">
        <v>46.3</v>
      </c>
      <c r="D13" s="14">
        <v>25.63</v>
      </c>
      <c r="E13" s="14">
        <v>29.75</v>
      </c>
      <c r="F13" s="10">
        <f t="shared" si="0"/>
        <v>-0.41973863858006633</v>
      </c>
      <c r="G13" s="14">
        <v>1.900938</v>
      </c>
      <c r="H13" s="14">
        <v>1.9281250000000001</v>
      </c>
      <c r="I13" s="14">
        <v>0.60812500000000003</v>
      </c>
      <c r="J13" s="14">
        <v>0.70374999999999999</v>
      </c>
      <c r="K13" s="10">
        <f t="shared" si="1"/>
        <v>-0.67238871108524878</v>
      </c>
    </row>
    <row r="14" spans="1:11" x14ac:dyDescent="0.4">
      <c r="A14" s="8">
        <v>2010</v>
      </c>
      <c r="B14" s="14">
        <v>54.46</v>
      </c>
      <c r="C14" s="14">
        <v>54.96</v>
      </c>
      <c r="D14" s="14">
        <v>41.55</v>
      </c>
      <c r="E14" s="14">
        <v>46.33</v>
      </c>
      <c r="F14" s="10">
        <f t="shared" si="0"/>
        <v>0.55731092436974783</v>
      </c>
      <c r="G14" s="14">
        <v>2.5912500000000001</v>
      </c>
      <c r="H14" s="14">
        <v>2.8156249999999998</v>
      </c>
      <c r="I14" s="14">
        <v>1.504375</v>
      </c>
      <c r="J14" s="14">
        <v>1.7649999999999999</v>
      </c>
      <c r="K14" s="10">
        <f t="shared" si="1"/>
        <v>1.5079928952042627</v>
      </c>
    </row>
    <row r="15" spans="1:11" x14ac:dyDescent="0.4">
      <c r="A15" s="8">
        <v>2011</v>
      </c>
      <c r="B15" s="14">
        <v>55.83</v>
      </c>
      <c r="C15" s="14">
        <v>59.83</v>
      </c>
      <c r="D15" s="14">
        <v>49.93</v>
      </c>
      <c r="E15" s="14">
        <v>54.97</v>
      </c>
      <c r="F15" s="10">
        <f t="shared" si="0"/>
        <v>0.18648823656378158</v>
      </c>
      <c r="G15" s="14">
        <v>2.642188</v>
      </c>
      <c r="H15" s="14">
        <v>3.0337499999999999</v>
      </c>
      <c r="I15" s="14">
        <v>2.0740630000000002</v>
      </c>
      <c r="J15" s="14">
        <v>2.8509380000000002</v>
      </c>
      <c r="K15" s="10">
        <f t="shared" si="1"/>
        <v>0.61526232294617589</v>
      </c>
    </row>
    <row r="16" spans="1:11" x14ac:dyDescent="0.4">
      <c r="A16" s="8">
        <v>2012</v>
      </c>
      <c r="B16" s="14">
        <v>65.13</v>
      </c>
      <c r="C16" s="14">
        <v>70.58</v>
      </c>
      <c r="D16" s="14">
        <v>56.56</v>
      </c>
      <c r="E16" s="14">
        <v>56.91</v>
      </c>
      <c r="F16" s="10">
        <f t="shared" si="0"/>
        <v>3.5291977442241183E-2</v>
      </c>
      <c r="G16" s="14">
        <v>3.5968749999999998</v>
      </c>
      <c r="H16" s="14">
        <v>4.0225</v>
      </c>
      <c r="I16" s="14">
        <v>2.9081250000000001</v>
      </c>
      <c r="J16" s="14">
        <v>3.376563</v>
      </c>
      <c r="K16" s="10">
        <f t="shared" si="1"/>
        <v>0.18436914447104769</v>
      </c>
    </row>
    <row r="17" spans="1:11" x14ac:dyDescent="0.4">
      <c r="A17" s="8">
        <v>2013</v>
      </c>
      <c r="B17" s="14">
        <v>87.96</v>
      </c>
      <c r="C17" s="14">
        <v>87.96</v>
      </c>
      <c r="D17" s="14">
        <v>65.959999999999994</v>
      </c>
      <c r="E17" s="14">
        <v>66.73</v>
      </c>
      <c r="F17" s="10">
        <f t="shared" si="0"/>
        <v>0.17255315410296973</v>
      </c>
      <c r="G17" s="14">
        <v>6.17</v>
      </c>
      <c r="H17" s="14">
        <v>6.3631250000000001</v>
      </c>
      <c r="I17" s="14">
        <v>3.504375</v>
      </c>
      <c r="J17" s="14">
        <v>3.625</v>
      </c>
      <c r="K17" s="10">
        <f t="shared" si="1"/>
        <v>7.3576888688290432E-2</v>
      </c>
    </row>
    <row r="18" spans="1:11" x14ac:dyDescent="0.4">
      <c r="A18" s="8">
        <v>2014</v>
      </c>
      <c r="B18" s="14">
        <v>103.25</v>
      </c>
      <c r="C18" s="14">
        <v>106.25</v>
      </c>
      <c r="D18" s="14">
        <v>83.28</v>
      </c>
      <c r="E18" s="14">
        <v>87.56</v>
      </c>
      <c r="F18" s="10">
        <f t="shared" si="0"/>
        <v>0.31215345421849239</v>
      </c>
      <c r="G18" s="14">
        <v>8.6312499999999996</v>
      </c>
      <c r="H18" s="14">
        <v>9.0262499999999992</v>
      </c>
      <c r="I18" s="14">
        <v>5.5875000000000004</v>
      </c>
      <c r="J18" s="14">
        <v>6.5837500000000002</v>
      </c>
      <c r="K18" s="10">
        <f t="shared" si="1"/>
        <v>0.81620689655172418</v>
      </c>
    </row>
    <row r="19" spans="1:11" x14ac:dyDescent="0.4">
      <c r="A19" s="8">
        <v>2015</v>
      </c>
      <c r="B19" s="14">
        <v>111.86</v>
      </c>
      <c r="C19" s="14">
        <v>115.75</v>
      </c>
      <c r="D19" s="14">
        <v>84.74</v>
      </c>
      <c r="E19" s="14">
        <v>103.76</v>
      </c>
      <c r="F19" s="10">
        <f t="shared" si="0"/>
        <v>0.18501598903608957</v>
      </c>
      <c r="G19" s="14">
        <v>9.3574999999999999</v>
      </c>
      <c r="H19" s="14">
        <v>10.47125</v>
      </c>
      <c r="I19" s="14">
        <v>6.875</v>
      </c>
      <c r="J19" s="14">
        <v>9.3787500000000001</v>
      </c>
      <c r="K19" s="10">
        <f t="shared" si="1"/>
        <v>0.42453009303208655</v>
      </c>
    </row>
    <row r="20" spans="1:11" x14ac:dyDescent="0.4">
      <c r="A20" s="8">
        <v>2016</v>
      </c>
      <c r="B20" s="14">
        <v>118.48</v>
      </c>
      <c r="C20" s="14">
        <v>121.52</v>
      </c>
      <c r="D20" s="14">
        <v>94.84</v>
      </c>
      <c r="E20" s="14">
        <v>109.43</v>
      </c>
      <c r="F20" s="10">
        <f t="shared" si="0"/>
        <v>5.4645335389360075E-2</v>
      </c>
      <c r="G20" s="14">
        <v>10.90875</v>
      </c>
      <c r="H20" s="14">
        <v>12.12875</v>
      </c>
      <c r="I20" s="14">
        <v>6.9537500000000003</v>
      </c>
      <c r="J20" s="14">
        <v>8.11</v>
      </c>
      <c r="K20" s="10">
        <f t="shared" si="1"/>
        <v>-0.13527922164467554</v>
      </c>
    </row>
    <row r="21" spans="1:11" x14ac:dyDescent="0.4">
      <c r="A21" s="8">
        <v>2017</v>
      </c>
      <c r="B21" s="14">
        <v>155.76</v>
      </c>
      <c r="C21" s="14">
        <v>158.77000000000001</v>
      </c>
      <c r="D21" s="14">
        <v>118.89</v>
      </c>
      <c r="E21" s="14">
        <v>119.31</v>
      </c>
      <c r="F21" s="10">
        <f t="shared" si="0"/>
        <v>9.0286027597550902E-2</v>
      </c>
      <c r="G21" s="14">
        <v>18.514999</v>
      </c>
      <c r="H21" s="14">
        <v>22.002500999999999</v>
      </c>
      <c r="I21" s="14">
        <v>11.922499999999999</v>
      </c>
      <c r="J21" s="14">
        <v>12.911250000000001</v>
      </c>
      <c r="K21" s="10">
        <f t="shared" si="1"/>
        <v>0.59201602959309518</v>
      </c>
    </row>
    <row r="22" spans="1:11" x14ac:dyDescent="0.4">
      <c r="A22" s="8">
        <v>2018</v>
      </c>
      <c r="B22" s="14">
        <v>154.26</v>
      </c>
      <c r="C22" s="14">
        <v>187.53</v>
      </c>
      <c r="D22" s="14">
        <v>143.46</v>
      </c>
      <c r="E22" s="14">
        <v>156.5</v>
      </c>
      <c r="F22" s="10">
        <f t="shared" si="0"/>
        <v>0.31170899337859354</v>
      </c>
      <c r="G22" s="14">
        <v>16.084999</v>
      </c>
      <c r="H22" s="14">
        <v>25.627500999999999</v>
      </c>
      <c r="I22" s="14">
        <v>14.61</v>
      </c>
      <c r="J22" s="14">
        <v>20.862499</v>
      </c>
      <c r="K22" s="10">
        <f t="shared" si="1"/>
        <v>0.61583882273211332</v>
      </c>
    </row>
    <row r="23" spans="1:11" x14ac:dyDescent="0.4">
      <c r="A23" s="8">
        <v>2019</v>
      </c>
      <c r="B23" s="14">
        <v>212.61</v>
      </c>
      <c r="C23" s="14">
        <v>214.56</v>
      </c>
      <c r="D23" s="14">
        <v>149.49</v>
      </c>
      <c r="E23" s="14">
        <v>150.99</v>
      </c>
      <c r="F23" s="10">
        <f t="shared" si="0"/>
        <v>-3.5207667731629332E-2</v>
      </c>
      <c r="G23" s="14">
        <v>30.977501</v>
      </c>
      <c r="H23" s="14">
        <v>34.299999</v>
      </c>
      <c r="I23" s="14">
        <v>19.3825</v>
      </c>
      <c r="J23" s="14">
        <v>20.905000999999999</v>
      </c>
      <c r="K23" s="10">
        <f t="shared" si="1"/>
        <v>2.0372439562489101E-3</v>
      </c>
    </row>
    <row r="24" spans="1:11" x14ac:dyDescent="0.4">
      <c r="A24" s="8">
        <v>2020</v>
      </c>
      <c r="B24" s="14">
        <v>313.74</v>
      </c>
      <c r="C24" s="14">
        <v>314.69</v>
      </c>
      <c r="D24" s="14">
        <v>164.93</v>
      </c>
      <c r="E24" s="14">
        <v>214.4</v>
      </c>
      <c r="F24" s="10">
        <f t="shared" si="0"/>
        <v>0.41996158686005691</v>
      </c>
      <c r="G24" s="14">
        <v>58.110000999999997</v>
      </c>
      <c r="H24" s="14">
        <v>63.604999999999997</v>
      </c>
      <c r="I24" s="14">
        <v>17.0075</v>
      </c>
      <c r="J24" s="14">
        <v>28.395</v>
      </c>
      <c r="K24" s="10">
        <f t="shared" si="1"/>
        <v>0.35828742605656905</v>
      </c>
    </row>
    <row r="25" spans="1:11" x14ac:dyDescent="0.4">
      <c r="A25" s="8">
        <v>2021</v>
      </c>
      <c r="B25" s="14">
        <v>397.85</v>
      </c>
      <c r="C25" s="14">
        <v>408.71</v>
      </c>
      <c r="D25" s="14">
        <v>297.45</v>
      </c>
      <c r="E25" s="14">
        <v>315.11</v>
      </c>
      <c r="F25" s="10">
        <f t="shared" si="0"/>
        <v>0.46972947761194034</v>
      </c>
      <c r="G25" s="14">
        <v>89.650002000000001</v>
      </c>
      <c r="H25" s="14">
        <v>94.540001000000004</v>
      </c>
      <c r="I25" s="14">
        <v>51.200001</v>
      </c>
      <c r="J25" s="14">
        <v>57.27</v>
      </c>
      <c r="K25" s="10">
        <f t="shared" si="1"/>
        <v>1.0169043845747492</v>
      </c>
    </row>
    <row r="26" spans="1:11" x14ac:dyDescent="0.4">
      <c r="A26" s="8">
        <v>2022</v>
      </c>
      <c r="B26" s="14">
        <v>266.27999999999997</v>
      </c>
      <c r="C26" s="14">
        <v>402.28</v>
      </c>
      <c r="D26" s="14">
        <v>254.26</v>
      </c>
      <c r="E26" s="14">
        <v>399.05</v>
      </c>
      <c r="F26" s="10">
        <f t="shared" si="0"/>
        <v>0.26638316778267906</v>
      </c>
      <c r="G26" s="14">
        <v>35.639999000000003</v>
      </c>
      <c r="H26" s="14">
        <v>76.449996999999996</v>
      </c>
      <c r="I26" s="14">
        <v>32.979999999999997</v>
      </c>
      <c r="J26" s="14">
        <v>66.669998000000007</v>
      </c>
      <c r="K26" s="10">
        <f t="shared" si="1"/>
        <v>0.16413476514754677</v>
      </c>
    </row>
    <row r="27" spans="1:11" x14ac:dyDescent="0.4">
      <c r="A27" s="8">
        <v>2023</v>
      </c>
      <c r="B27" s="14">
        <v>409.52</v>
      </c>
      <c r="C27" s="14">
        <v>412.92</v>
      </c>
      <c r="D27" s="14">
        <v>260.33999999999997</v>
      </c>
      <c r="E27" s="14">
        <v>268.64999999999998</v>
      </c>
      <c r="F27" s="10">
        <f t="shared" si="0"/>
        <v>-0.32677609322140089</v>
      </c>
      <c r="G27" s="14">
        <v>74.64</v>
      </c>
      <c r="H27" s="14">
        <v>83.25</v>
      </c>
      <c r="I27" s="14">
        <v>39.240001999999997</v>
      </c>
      <c r="J27" s="14">
        <v>41.73</v>
      </c>
      <c r="K27" s="10">
        <f t="shared" si="1"/>
        <v>-0.37408127715858047</v>
      </c>
    </row>
    <row r="28" spans="1:11" x14ac:dyDescent="0.4">
      <c r="A28" s="8">
        <v>2024</v>
      </c>
      <c r="B28" s="14">
        <v>511.23</v>
      </c>
      <c r="C28" s="14">
        <v>539.15</v>
      </c>
      <c r="D28" s="14">
        <v>395.34</v>
      </c>
      <c r="E28" s="14">
        <v>405.84</v>
      </c>
      <c r="F28" s="10">
        <f t="shared" si="0"/>
        <v>0.51066443327749866</v>
      </c>
      <c r="G28" s="14">
        <v>108.28</v>
      </c>
      <c r="H28" s="14">
        <v>120.68</v>
      </c>
      <c r="I28" s="14">
        <v>70.739998</v>
      </c>
      <c r="J28" s="14">
        <v>86.04</v>
      </c>
      <c r="K28" s="10">
        <f t="shared" si="1"/>
        <v>1.0618260244428472</v>
      </c>
    </row>
  </sheetData>
  <sheetProtection algorithmName="SHA-512" hashValue="7ruBCmqwBdyUvL/+/93bRV+YKShVfvwNkK78p9pe760CzRTXVOwwlZ/4GIHnPa6yNC10aljsKEIPPWFYdFO7Bg==" saltValue="I3uI4zgXadwxJp/COPGoZA==" spinCount="100000" sheet="1" formatColumns="0" formatRows="0"/>
  <mergeCells count="3">
    <mergeCell ref="A1:A2"/>
    <mergeCell ref="B1:F1"/>
    <mergeCell ref="G1:K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工作表2"/>
  <dimension ref="A1:K312"/>
  <sheetViews>
    <sheetView zoomScale="70" zoomScaleNormal="70" workbookViewId="0">
      <pane xSplit="1" ySplit="2" topLeftCell="B294" activePane="bottomRight" state="frozen"/>
      <selection pane="topRight" activeCell="B1" sqref="B1"/>
      <selection pane="bottomLeft" activeCell="A2" sqref="A2"/>
      <selection pane="bottomRight" activeCell="B312" sqref="B312"/>
    </sheetView>
  </sheetViews>
  <sheetFormatPr defaultRowHeight="17" x14ac:dyDescent="0.4"/>
  <cols>
    <col min="1" max="1" width="10.90625" style="55" bestFit="1" customWidth="1"/>
    <col min="2" max="5" width="8.54296875" style="14" bestFit="1" customWidth="1"/>
    <col min="6" max="6" width="8.54296875" style="12" bestFit="1" customWidth="1"/>
    <col min="7" max="10" width="8.54296875" style="14" bestFit="1" customWidth="1"/>
    <col min="11" max="11" width="8.54296875" style="12" bestFit="1" customWidth="1"/>
    <col min="12" max="16384" width="8.7265625" style="1"/>
  </cols>
  <sheetData>
    <row r="1" spans="1:11" x14ac:dyDescent="0.4">
      <c r="A1" s="53" t="s">
        <v>0</v>
      </c>
      <c r="B1" s="214" t="s">
        <v>4</v>
      </c>
      <c r="C1" s="215"/>
      <c r="D1" s="215"/>
      <c r="E1" s="215"/>
      <c r="F1" s="216"/>
      <c r="G1" s="214" t="s">
        <v>5</v>
      </c>
      <c r="H1" s="215"/>
      <c r="I1" s="215"/>
      <c r="J1" s="215"/>
      <c r="K1" s="216"/>
    </row>
    <row r="2" spans="1:11" s="3" customFormat="1" x14ac:dyDescent="0.4">
      <c r="A2" s="54">
        <f>_xlfn.DAYS(A312,A3)/365.25</f>
        <v>25.754962354551676</v>
      </c>
      <c r="B2" s="6" t="s">
        <v>117</v>
      </c>
      <c r="C2" s="6" t="s">
        <v>2</v>
      </c>
      <c r="D2" s="6" t="s">
        <v>3</v>
      </c>
      <c r="E2" s="6" t="s">
        <v>1</v>
      </c>
      <c r="F2" s="5" t="s">
        <v>6</v>
      </c>
      <c r="G2" s="6" t="s">
        <v>117</v>
      </c>
      <c r="H2" s="6" t="s">
        <v>2</v>
      </c>
      <c r="I2" s="6" t="s">
        <v>3</v>
      </c>
      <c r="J2" s="6" t="s">
        <v>1</v>
      </c>
      <c r="K2" s="5" t="s">
        <v>6</v>
      </c>
    </row>
    <row r="3" spans="1:11" x14ac:dyDescent="0.4">
      <c r="A3" s="55">
        <v>36250</v>
      </c>
      <c r="B3" s="14">
        <v>52.66</v>
      </c>
      <c r="C3" s="14">
        <v>53.96</v>
      </c>
      <c r="D3" s="14">
        <v>48.3</v>
      </c>
      <c r="E3" s="14">
        <v>50.96</v>
      </c>
      <c r="G3" s="51">
        <v>4.3862467221915393</v>
      </c>
      <c r="H3" s="51">
        <v>4.9312861738281253</v>
      </c>
      <c r="I3" s="51">
        <v>3.5827940208946893</v>
      </c>
      <c r="J3" s="51">
        <v>4.3077442246863011</v>
      </c>
    </row>
    <row r="4" spans="1:11" x14ac:dyDescent="0.4">
      <c r="A4" s="55">
        <v>36280</v>
      </c>
      <c r="B4" s="14">
        <v>53.4</v>
      </c>
      <c r="C4" s="14">
        <v>57.04</v>
      </c>
      <c r="D4" s="14">
        <v>48.64</v>
      </c>
      <c r="E4" s="14">
        <v>53.78</v>
      </c>
      <c r="F4" s="10">
        <f t="shared" ref="F4:F67" si="0">(B4-B3)/B3</f>
        <v>1.405241169768329E-2</v>
      </c>
      <c r="G4" s="51">
        <v>4.315461193183693</v>
      </c>
      <c r="H4" s="51">
        <v>4.7131502748191973</v>
      </c>
      <c r="I4" s="51">
        <v>3.5965607479690558</v>
      </c>
      <c r="J4" s="51">
        <v>4.04135155532712</v>
      </c>
      <c r="K4" s="10">
        <f>(G4-G3)/G3</f>
        <v>-1.6138063700274274E-2</v>
      </c>
    </row>
    <row r="5" spans="1:11" x14ac:dyDescent="0.4">
      <c r="A5" s="55">
        <v>36311</v>
      </c>
      <c r="B5" s="14">
        <v>52.03</v>
      </c>
      <c r="C5" s="14">
        <v>56</v>
      </c>
      <c r="D5" s="14">
        <v>48.94</v>
      </c>
      <c r="E5" s="14">
        <v>53.4</v>
      </c>
      <c r="F5" s="10">
        <f t="shared" si="0"/>
        <v>-2.5655430711610441E-2</v>
      </c>
      <c r="G5" s="51">
        <v>4.0575849337750123</v>
      </c>
      <c r="H5" s="51">
        <v>5.3992381291553659</v>
      </c>
      <c r="I5" s="51">
        <v>3.6901767113820263</v>
      </c>
      <c r="J5" s="51">
        <v>4.9570122130183512</v>
      </c>
      <c r="K5" s="10">
        <f t="shared" ref="K5:K68" si="1">(G5-G4)/G4</f>
        <v>-5.9756361571736166E-2</v>
      </c>
    </row>
    <row r="6" spans="1:11" x14ac:dyDescent="0.4">
      <c r="A6" s="55">
        <v>36341</v>
      </c>
      <c r="B6" s="14">
        <v>57.66</v>
      </c>
      <c r="C6" s="14">
        <v>60</v>
      </c>
      <c r="D6" s="14">
        <v>49.57</v>
      </c>
      <c r="E6" s="14">
        <v>51.94</v>
      </c>
      <c r="F6" s="10">
        <f t="shared" si="0"/>
        <v>0.10820680376705738</v>
      </c>
      <c r="G6" s="51">
        <v>5.0274647843727704</v>
      </c>
      <c r="H6" s="51">
        <v>5.724920713686771</v>
      </c>
      <c r="I6" s="51">
        <v>4.6728337032623743</v>
      </c>
      <c r="J6" s="51">
        <v>4.7811795811627906</v>
      </c>
      <c r="K6" s="10">
        <f t="shared" si="1"/>
        <v>0.23902884756017204</v>
      </c>
    </row>
    <row r="7" spans="1:11" x14ac:dyDescent="0.4">
      <c r="A7" s="55">
        <v>36372</v>
      </c>
      <c r="B7" s="14">
        <v>56.59</v>
      </c>
      <c r="C7" s="14">
        <v>61.66</v>
      </c>
      <c r="D7" s="14">
        <v>55.78</v>
      </c>
      <c r="E7" s="14">
        <v>57.81</v>
      </c>
      <c r="F7" s="10">
        <f t="shared" si="0"/>
        <v>-1.8557058619493465E-2</v>
      </c>
      <c r="G7" s="51">
        <v>4.8337050429796644</v>
      </c>
      <c r="H7" s="51">
        <v>5.7307195694444442</v>
      </c>
      <c r="I7" s="51">
        <v>4.2085326105014644</v>
      </c>
      <c r="J7" s="51">
        <v>5.318202746526298</v>
      </c>
      <c r="K7" s="10">
        <f t="shared" si="1"/>
        <v>-3.8540248356464545E-2</v>
      </c>
    </row>
    <row r="8" spans="1:11" x14ac:dyDescent="0.4">
      <c r="A8" s="55">
        <v>36403</v>
      </c>
      <c r="B8" s="14">
        <v>59.69</v>
      </c>
      <c r="C8" s="14">
        <v>61.72</v>
      </c>
      <c r="D8" s="14">
        <v>52.94</v>
      </c>
      <c r="E8" s="14">
        <v>57.13</v>
      </c>
      <c r="F8" s="10">
        <f t="shared" si="0"/>
        <v>5.4779996465806578E-2</v>
      </c>
      <c r="G8" s="51">
        <v>5.4264067846646897</v>
      </c>
      <c r="H8" s="51">
        <v>6.1079519415680465</v>
      </c>
      <c r="I8" s="51">
        <v>5.1614241892059489</v>
      </c>
      <c r="J8" s="51">
        <v>5.4076767225057942</v>
      </c>
      <c r="K8" s="10">
        <f t="shared" si="1"/>
        <v>0.12261851652405818</v>
      </c>
    </row>
    <row r="9" spans="1:11" x14ac:dyDescent="0.4">
      <c r="A9" s="55">
        <v>36433</v>
      </c>
      <c r="B9" s="14">
        <v>60.19</v>
      </c>
      <c r="C9" s="14">
        <v>63.75</v>
      </c>
      <c r="D9" s="14">
        <v>58.63</v>
      </c>
      <c r="E9" s="14">
        <v>59.69</v>
      </c>
      <c r="F9" s="10">
        <f t="shared" si="0"/>
        <v>8.3766124979058471E-3</v>
      </c>
      <c r="G9" s="51">
        <v>5.3028920004633164</v>
      </c>
      <c r="H9" s="51">
        <v>6.5964002321663378</v>
      </c>
      <c r="I9" s="51">
        <v>4.9504012810514642</v>
      </c>
      <c r="J9" s="51">
        <v>6.4534154791717775</v>
      </c>
      <c r="K9" s="10">
        <f t="shared" si="1"/>
        <v>-2.2761799677538469E-2</v>
      </c>
    </row>
    <row r="10" spans="1:11" x14ac:dyDescent="0.4">
      <c r="A10" s="55">
        <v>36464</v>
      </c>
      <c r="B10" s="14">
        <v>65.75</v>
      </c>
      <c r="C10" s="14">
        <v>66.22</v>
      </c>
      <c r="D10" s="14">
        <v>57.41</v>
      </c>
      <c r="E10" s="14">
        <v>59.38</v>
      </c>
      <c r="F10" s="10">
        <f t="shared" si="0"/>
        <v>9.2374148529656128E-2</v>
      </c>
      <c r="G10" s="51">
        <v>6.5027499041337995</v>
      </c>
      <c r="H10" s="51">
        <v>9.3278374172124128</v>
      </c>
      <c r="I10" s="51">
        <v>6.3831726430506546</v>
      </c>
      <c r="J10" s="51">
        <v>8.0644135430278272</v>
      </c>
      <c r="K10" s="10">
        <f t="shared" si="1"/>
        <v>0.22626481994459832</v>
      </c>
    </row>
    <row r="11" spans="1:11" x14ac:dyDescent="0.4">
      <c r="A11" s="55">
        <v>36494</v>
      </c>
      <c r="B11" s="14">
        <v>73.97</v>
      </c>
      <c r="C11" s="14">
        <v>78.78</v>
      </c>
      <c r="D11" s="14">
        <v>65.2</v>
      </c>
      <c r="E11" s="14">
        <v>65.75</v>
      </c>
      <c r="F11" s="10">
        <f t="shared" si="0"/>
        <v>0.1250190114068441</v>
      </c>
      <c r="G11" s="51">
        <v>8.3067144396531862</v>
      </c>
      <c r="H11" s="51">
        <v>13.209238627958582</v>
      </c>
      <c r="I11" s="51">
        <v>8.1682287326507463</v>
      </c>
      <c r="J11" s="51">
        <v>12.463869467773534</v>
      </c>
      <c r="K11" s="10">
        <f t="shared" si="1"/>
        <v>0.27741564140004926</v>
      </c>
    </row>
    <row r="12" spans="1:11" x14ac:dyDescent="0.4">
      <c r="A12" s="55">
        <v>36525</v>
      </c>
      <c r="B12" s="14">
        <v>91.38</v>
      </c>
      <c r="C12" s="14">
        <v>93.72</v>
      </c>
      <c r="D12" s="14">
        <v>73.81</v>
      </c>
      <c r="E12" s="14">
        <v>75.47</v>
      </c>
      <c r="F12" s="10">
        <f t="shared" si="0"/>
        <v>0.23536568879275377</v>
      </c>
      <c r="G12" s="51">
        <v>13.916909766015927</v>
      </c>
      <c r="H12" s="51">
        <v>14.323769604885769</v>
      </c>
      <c r="I12" s="51">
        <v>9.5513602305460807</v>
      </c>
      <c r="J12" s="51">
        <v>12.007758614857725</v>
      </c>
      <c r="K12" s="10">
        <f t="shared" si="1"/>
        <v>0.67538078588349448</v>
      </c>
    </row>
    <row r="13" spans="1:11" x14ac:dyDescent="0.4">
      <c r="A13" s="55">
        <v>36556</v>
      </c>
      <c r="B13" s="14">
        <v>89.69</v>
      </c>
      <c r="C13" s="14">
        <v>98.75</v>
      </c>
      <c r="D13" s="14">
        <v>81</v>
      </c>
      <c r="E13" s="14">
        <v>96.19</v>
      </c>
      <c r="F13" s="10">
        <f t="shared" si="0"/>
        <v>-1.849420004377323E-2</v>
      </c>
      <c r="G13" s="51">
        <v>12.057432324239059</v>
      </c>
      <c r="H13" s="51">
        <v>17.368094025312296</v>
      </c>
      <c r="I13" s="51">
        <v>11.745641894736886</v>
      </c>
      <c r="J13" s="51">
        <v>17.01115804626221</v>
      </c>
      <c r="K13" s="10">
        <f t="shared" si="1"/>
        <v>-0.13361281153935303</v>
      </c>
    </row>
    <row r="14" spans="1:11" x14ac:dyDescent="0.4">
      <c r="A14" s="55">
        <v>36585</v>
      </c>
      <c r="B14" s="14">
        <v>106.75</v>
      </c>
      <c r="C14" s="14">
        <v>107.44</v>
      </c>
      <c r="D14" s="14">
        <v>88.5</v>
      </c>
      <c r="E14" s="14">
        <v>89.53</v>
      </c>
      <c r="F14" s="10">
        <f t="shared" si="0"/>
        <v>0.19021072583342627</v>
      </c>
      <c r="G14" s="51">
        <v>17.3021526277189</v>
      </c>
      <c r="H14" s="51">
        <v>21.822742435568706</v>
      </c>
      <c r="I14" s="51">
        <v>15.319570477774484</v>
      </c>
      <c r="J14" s="51">
        <v>17.898900362680251</v>
      </c>
      <c r="K14" s="10">
        <f t="shared" si="1"/>
        <v>0.43497820783421515</v>
      </c>
    </row>
    <row r="15" spans="1:11" x14ac:dyDescent="0.4">
      <c r="A15" s="55">
        <v>36616</v>
      </c>
      <c r="B15" s="14">
        <v>109.63</v>
      </c>
      <c r="C15" s="14">
        <v>120.48</v>
      </c>
      <c r="D15" s="14">
        <v>101</v>
      </c>
      <c r="E15" s="14">
        <v>107.25</v>
      </c>
      <c r="F15" s="10">
        <f t="shared" si="0"/>
        <v>2.6978922716627593E-2</v>
      </c>
      <c r="G15" s="51">
        <v>17.46891940022627</v>
      </c>
      <c r="H15" s="51">
        <v>17.89714458006657</v>
      </c>
      <c r="I15" s="51">
        <v>9.1367774518949076</v>
      </c>
      <c r="J15" s="51">
        <v>13.401596854714008</v>
      </c>
      <c r="K15" s="10">
        <f t="shared" si="1"/>
        <v>9.6384985207101093E-3</v>
      </c>
    </row>
    <row r="16" spans="1:11" x14ac:dyDescent="0.4">
      <c r="A16" s="55">
        <v>36646</v>
      </c>
      <c r="B16" s="14">
        <v>93.88</v>
      </c>
      <c r="C16" s="14">
        <v>109.13</v>
      </c>
      <c r="D16" s="14">
        <v>78.02</v>
      </c>
      <c r="E16" s="14">
        <v>107.77</v>
      </c>
      <c r="F16" s="10">
        <f t="shared" si="0"/>
        <v>-0.14366505518562439</v>
      </c>
      <c r="G16" s="51">
        <v>13.790598110244227</v>
      </c>
      <c r="H16" s="51">
        <v>14.104531468297994</v>
      </c>
      <c r="I16" s="51">
        <v>7.8393407868971332</v>
      </c>
      <c r="J16" s="51">
        <v>10.314814657855177</v>
      </c>
      <c r="K16" s="10">
        <f t="shared" si="1"/>
        <v>-0.21056375644703004</v>
      </c>
    </row>
    <row r="17" spans="1:11" x14ac:dyDescent="0.4">
      <c r="A17" s="55">
        <v>36677</v>
      </c>
      <c r="B17" s="14">
        <v>82.75</v>
      </c>
      <c r="C17" s="14">
        <v>96.81</v>
      </c>
      <c r="D17" s="14">
        <v>72.38</v>
      </c>
      <c r="E17" s="14">
        <v>95.69</v>
      </c>
      <c r="F17" s="10">
        <f t="shared" si="0"/>
        <v>-0.11855560289731568</v>
      </c>
      <c r="G17" s="51">
        <v>10.915843067932116</v>
      </c>
      <c r="H17" s="51">
        <v>14.944757928183812</v>
      </c>
      <c r="I17" s="51">
        <v>10.221431875733023</v>
      </c>
      <c r="J17" s="51">
        <v>13.032884069575877</v>
      </c>
      <c r="K17" s="10">
        <f t="shared" si="1"/>
        <v>-0.20845760418299947</v>
      </c>
    </row>
    <row r="18" spans="1:11" x14ac:dyDescent="0.4">
      <c r="A18" s="55">
        <v>36707</v>
      </c>
      <c r="B18" s="14">
        <v>93.19</v>
      </c>
      <c r="C18" s="14">
        <v>99.69</v>
      </c>
      <c r="D18" s="14">
        <v>84.56</v>
      </c>
      <c r="E18" s="14">
        <v>85.19</v>
      </c>
      <c r="F18" s="10">
        <f t="shared" si="0"/>
        <v>0.12616314199395767</v>
      </c>
      <c r="G18" s="51">
        <v>13.150091017516797</v>
      </c>
      <c r="H18" s="51">
        <v>15.655525043356549</v>
      </c>
      <c r="I18" s="51">
        <v>11.034572182503613</v>
      </c>
      <c r="J18" s="51">
        <v>11.940909705796921</v>
      </c>
      <c r="K18" s="10">
        <f t="shared" si="1"/>
        <v>0.20467937617647836</v>
      </c>
    </row>
    <row r="19" spans="1:11" x14ac:dyDescent="0.4">
      <c r="A19" s="55">
        <v>36738</v>
      </c>
      <c r="B19" s="14">
        <v>89.5</v>
      </c>
      <c r="C19" s="14">
        <v>102.05</v>
      </c>
      <c r="D19" s="14">
        <v>85.81</v>
      </c>
      <c r="E19" s="14">
        <v>93.5</v>
      </c>
      <c r="F19" s="10">
        <f t="shared" si="0"/>
        <v>-3.9596523232106426E-2</v>
      </c>
      <c r="G19" s="51">
        <v>12.133304810309955</v>
      </c>
      <c r="H19" s="51">
        <v>15.6363569704142</v>
      </c>
      <c r="I19" s="51">
        <v>10.42375451345235</v>
      </c>
      <c r="J19" s="51">
        <v>15.416977171322017</v>
      </c>
      <c r="K19" s="10">
        <f t="shared" si="1"/>
        <v>-7.7321609854442433E-2</v>
      </c>
    </row>
    <row r="20" spans="1:11" x14ac:dyDescent="0.4">
      <c r="A20" s="55">
        <v>36769</v>
      </c>
      <c r="B20" s="14">
        <v>101.88</v>
      </c>
      <c r="C20" s="14">
        <v>101.88</v>
      </c>
      <c r="D20" s="14">
        <v>83.52</v>
      </c>
      <c r="E20" s="14">
        <v>89.81</v>
      </c>
      <c r="F20" s="10">
        <f t="shared" si="0"/>
        <v>0.13832402234636867</v>
      </c>
      <c r="G20" s="51">
        <v>15.958056061635814</v>
      </c>
      <c r="H20" s="51">
        <v>16.104492754312346</v>
      </c>
      <c r="I20" s="51">
        <v>11.36690804296393</v>
      </c>
      <c r="J20" s="51">
        <v>11.758037354344044</v>
      </c>
      <c r="K20" s="10">
        <f t="shared" si="1"/>
        <v>0.31522749251925802</v>
      </c>
    </row>
    <row r="21" spans="1:11" x14ac:dyDescent="0.4">
      <c r="A21" s="55">
        <v>36799</v>
      </c>
      <c r="B21" s="14">
        <v>88.69</v>
      </c>
      <c r="C21" s="14">
        <v>103.5</v>
      </c>
      <c r="D21" s="14">
        <v>87.56</v>
      </c>
      <c r="E21" s="14">
        <v>103</v>
      </c>
      <c r="F21" s="10">
        <f t="shared" si="0"/>
        <v>-0.12946603847663918</v>
      </c>
      <c r="G21" s="51">
        <v>12.251801677870445</v>
      </c>
      <c r="H21" s="51">
        <v>12.241359553665349</v>
      </c>
      <c r="I21" s="51">
        <v>8.1405632868713855</v>
      </c>
      <c r="J21" s="51">
        <v>9.9649574314666047</v>
      </c>
      <c r="K21" s="10">
        <f t="shared" si="1"/>
        <v>-0.23224974078612504</v>
      </c>
    </row>
    <row r="22" spans="1:11" x14ac:dyDescent="0.4">
      <c r="A22" s="55">
        <v>36830</v>
      </c>
      <c r="B22" s="14">
        <v>81.7</v>
      </c>
      <c r="C22" s="14">
        <v>90.25</v>
      </c>
      <c r="D22" s="14">
        <v>73.63</v>
      </c>
      <c r="E22" s="14">
        <v>90.25</v>
      </c>
      <c r="F22" s="10">
        <f t="shared" si="0"/>
        <v>-7.8813845980381048E-2</v>
      </c>
      <c r="G22" s="51">
        <v>9.702235837634392</v>
      </c>
      <c r="H22" s="51">
        <v>10.636172875595822</v>
      </c>
      <c r="I22" s="51">
        <v>5.4968589198386466</v>
      </c>
      <c r="J22" s="51">
        <v>5.9219366943339491</v>
      </c>
      <c r="K22" s="10">
        <f t="shared" si="1"/>
        <v>-0.20809721763952085</v>
      </c>
    </row>
    <row r="23" spans="1:11" x14ac:dyDescent="0.4">
      <c r="A23" s="55">
        <v>36860</v>
      </c>
      <c r="B23" s="14">
        <v>62.98</v>
      </c>
      <c r="C23" s="14">
        <v>84.11</v>
      </c>
      <c r="D23" s="14">
        <v>60.52</v>
      </c>
      <c r="E23" s="14">
        <v>80.31</v>
      </c>
      <c r="F23" s="10">
        <f t="shared" si="0"/>
        <v>-0.22913096695226445</v>
      </c>
      <c r="G23" s="51">
        <v>6.1732420033094408</v>
      </c>
      <c r="H23" s="51">
        <v>8.4046701479816388</v>
      </c>
      <c r="I23" s="51">
        <v>4.4198072139246296</v>
      </c>
      <c r="J23" s="51">
        <v>5.0868847620939075</v>
      </c>
      <c r="K23" s="10">
        <f t="shared" si="1"/>
        <v>-0.36372995806143932</v>
      </c>
    </row>
    <row r="24" spans="1:11" x14ac:dyDescent="0.4">
      <c r="A24" s="55">
        <v>36891</v>
      </c>
      <c r="B24" s="14">
        <v>58.38</v>
      </c>
      <c r="C24" s="14">
        <v>74.67</v>
      </c>
      <c r="D24" s="14">
        <v>54.38</v>
      </c>
      <c r="E24" s="14">
        <v>64.06</v>
      </c>
      <c r="F24" s="10">
        <f t="shared" si="0"/>
        <v>-7.3039060019053581E-2</v>
      </c>
      <c r="G24" s="51">
        <v>5.1587532263210818</v>
      </c>
      <c r="H24" s="51">
        <v>7.1813405432486812</v>
      </c>
      <c r="I24" s="51">
        <v>4.0852304288910037</v>
      </c>
      <c r="J24" s="51">
        <v>6.1719173049681055</v>
      </c>
      <c r="K24" s="10">
        <f t="shared" si="1"/>
        <v>-0.16433646638905411</v>
      </c>
    </row>
    <row r="25" spans="1:11" x14ac:dyDescent="0.4">
      <c r="A25" s="55">
        <v>36922</v>
      </c>
      <c r="B25" s="14">
        <v>64.3</v>
      </c>
      <c r="C25" s="14">
        <v>69.09</v>
      </c>
      <c r="D25" s="14">
        <v>52.5</v>
      </c>
      <c r="E25" s="14">
        <v>58.56</v>
      </c>
      <c r="F25" s="10">
        <f t="shared" si="0"/>
        <v>0.10140459061322361</v>
      </c>
      <c r="G25" s="51">
        <v>6.2675538003311679</v>
      </c>
      <c r="H25" s="51">
        <v>6.4695685936164242</v>
      </c>
      <c r="I25" s="51">
        <v>3.2976793782225098</v>
      </c>
      <c r="J25" s="51">
        <v>3.3610158764355345</v>
      </c>
      <c r="K25" s="10">
        <f t="shared" si="1"/>
        <v>0.2149357655552788</v>
      </c>
    </row>
    <row r="26" spans="1:11" x14ac:dyDescent="0.4">
      <c r="A26" s="55">
        <v>36950</v>
      </c>
      <c r="B26" s="14">
        <v>47.35</v>
      </c>
      <c r="C26" s="14">
        <v>65.599999999999994</v>
      </c>
      <c r="D26" s="14">
        <v>46.9</v>
      </c>
      <c r="E26" s="14">
        <v>64.55</v>
      </c>
      <c r="F26" s="10">
        <f t="shared" si="0"/>
        <v>-0.26360808709175731</v>
      </c>
      <c r="G26" s="51">
        <v>3.318537089585254</v>
      </c>
      <c r="H26" s="51">
        <v>3.8571417900018385</v>
      </c>
      <c r="I26" s="51">
        <v>2.1685579619553317</v>
      </c>
      <c r="J26" s="51">
        <v>2.2880298671091976</v>
      </c>
      <c r="K26" s="10">
        <f t="shared" si="1"/>
        <v>-0.47052116418850565</v>
      </c>
    </row>
    <row r="27" spans="1:11" x14ac:dyDescent="0.4">
      <c r="A27" s="55">
        <v>36981</v>
      </c>
      <c r="B27" s="14">
        <v>39.15</v>
      </c>
      <c r="C27" s="14">
        <v>50.65</v>
      </c>
      <c r="D27" s="14">
        <v>38.1</v>
      </c>
      <c r="E27" s="14">
        <v>46.9</v>
      </c>
      <c r="F27" s="10">
        <f t="shared" si="0"/>
        <v>-0.17317845828933479</v>
      </c>
      <c r="G27" s="51">
        <v>2.3078768762972368</v>
      </c>
      <c r="H27" s="51">
        <v>3.6736023117181134</v>
      </c>
      <c r="I27" s="51">
        <v>1.6954396850934277</v>
      </c>
      <c r="J27" s="51">
        <v>3.1793735761832864</v>
      </c>
      <c r="K27" s="10">
        <f t="shared" si="1"/>
        <v>-0.30454992245222368</v>
      </c>
    </row>
    <row r="28" spans="1:11" x14ac:dyDescent="0.4">
      <c r="A28" s="55">
        <v>37011</v>
      </c>
      <c r="B28" s="14">
        <v>46.15</v>
      </c>
      <c r="C28" s="14">
        <v>49.4</v>
      </c>
      <c r="D28" s="14">
        <v>33.6</v>
      </c>
      <c r="E28" s="14">
        <v>39.15</v>
      </c>
      <c r="F28" s="10">
        <f t="shared" si="0"/>
        <v>0.17879948914431673</v>
      </c>
      <c r="G28" s="51">
        <v>3.2106244372440709</v>
      </c>
      <c r="H28" s="51">
        <v>4.0560785185759087</v>
      </c>
      <c r="I28" s="51">
        <v>2.8221624228758042</v>
      </c>
      <c r="J28" s="51">
        <v>2.9867296166010573</v>
      </c>
      <c r="K28" s="10">
        <f t="shared" si="1"/>
        <v>0.39115932492690181</v>
      </c>
    </row>
    <row r="29" spans="1:11" x14ac:dyDescent="0.4">
      <c r="A29" s="55">
        <v>37042</v>
      </c>
      <c r="B29" s="14">
        <v>44.73</v>
      </c>
      <c r="C29" s="14">
        <v>51.55</v>
      </c>
      <c r="D29" s="14">
        <v>44.06</v>
      </c>
      <c r="E29" s="14">
        <v>46.25</v>
      </c>
      <c r="F29" s="10">
        <f t="shared" si="0"/>
        <v>-3.0769230769230806E-2</v>
      </c>
      <c r="G29" s="51">
        <v>3.1195475418998355</v>
      </c>
      <c r="H29" s="51">
        <v>3.6810369408271484</v>
      </c>
      <c r="I29" s="51">
        <v>2.556596832697529</v>
      </c>
      <c r="J29" s="51">
        <v>3.1176727803351558</v>
      </c>
      <c r="K29" s="10">
        <f t="shared" si="1"/>
        <v>-2.8367346329181295E-2</v>
      </c>
    </row>
    <row r="30" spans="1:11" x14ac:dyDescent="0.4">
      <c r="A30" s="55">
        <v>37072</v>
      </c>
      <c r="B30" s="14">
        <v>45.7</v>
      </c>
      <c r="C30" s="14">
        <v>48.9</v>
      </c>
      <c r="D30" s="14">
        <v>41.26</v>
      </c>
      <c r="E30" s="14">
        <v>45.5</v>
      </c>
      <c r="F30" s="10">
        <f t="shared" si="0"/>
        <v>2.168566957299365E-2</v>
      </c>
      <c r="G30" s="51">
        <v>3.1346361577005708</v>
      </c>
      <c r="H30" s="51">
        <v>3.2468892243229437</v>
      </c>
      <c r="I30" s="51">
        <v>2.3206516347412136</v>
      </c>
      <c r="J30" s="51">
        <v>2.6032690223544126</v>
      </c>
      <c r="K30" s="10">
        <f t="shared" si="1"/>
        <v>4.836796233451908E-3</v>
      </c>
    </row>
    <row r="31" spans="1:11" x14ac:dyDescent="0.4">
      <c r="A31" s="55">
        <v>37103</v>
      </c>
      <c r="B31" s="14">
        <v>41.76</v>
      </c>
      <c r="C31" s="14">
        <v>46.47</v>
      </c>
      <c r="D31" s="14">
        <v>39.31</v>
      </c>
      <c r="E31" s="14">
        <v>45.7</v>
      </c>
      <c r="F31" s="10">
        <f t="shared" si="0"/>
        <v>-8.6214442013129208E-2</v>
      </c>
      <c r="G31" s="51">
        <v>2.7336079114470806</v>
      </c>
      <c r="H31" s="51">
        <v>2.9096488941485852</v>
      </c>
      <c r="I31" s="51">
        <v>1.9193577633320886</v>
      </c>
      <c r="J31" s="51">
        <v>2.0029586018066512</v>
      </c>
      <c r="K31" s="10">
        <f t="shared" si="1"/>
        <v>-0.12793454362105827</v>
      </c>
    </row>
    <row r="32" spans="1:11" x14ac:dyDescent="0.4">
      <c r="A32" s="55">
        <v>37134</v>
      </c>
      <c r="B32" s="14">
        <v>36.630000000000003</v>
      </c>
      <c r="C32" s="14">
        <v>44</v>
      </c>
      <c r="D32" s="14">
        <v>35.85</v>
      </c>
      <c r="E32" s="14">
        <v>42.7</v>
      </c>
      <c r="F32" s="10">
        <f t="shared" si="0"/>
        <v>-0.1228448275862068</v>
      </c>
      <c r="G32" s="51">
        <v>2.0050682283278793</v>
      </c>
      <c r="H32" s="51">
        <v>2.113478180473372</v>
      </c>
      <c r="I32" s="51">
        <v>1.1110706651956979</v>
      </c>
      <c r="J32" s="51">
        <v>1.2537036041912</v>
      </c>
      <c r="K32" s="10">
        <f t="shared" si="1"/>
        <v>-0.26651213587303996</v>
      </c>
    </row>
    <row r="33" spans="1:11" x14ac:dyDescent="0.4">
      <c r="A33" s="55">
        <v>37164</v>
      </c>
      <c r="B33" s="14">
        <v>28.98</v>
      </c>
      <c r="C33" s="14">
        <v>37.5</v>
      </c>
      <c r="D33" s="14">
        <v>27.23</v>
      </c>
      <c r="E33" s="14">
        <v>36.450000000000003</v>
      </c>
      <c r="F33" s="10">
        <f t="shared" si="0"/>
        <v>-0.20884520884520888</v>
      </c>
      <c r="G33" s="51">
        <v>1.2519793681177185</v>
      </c>
      <c r="H33" s="51">
        <v>2.064172968790615</v>
      </c>
      <c r="I33" s="51">
        <v>1.1648077201154428</v>
      </c>
      <c r="J33" s="51">
        <v>1.7155270084349152</v>
      </c>
      <c r="K33" s="10">
        <f t="shared" si="1"/>
        <v>-0.37559263548761984</v>
      </c>
    </row>
    <row r="34" spans="1:11" x14ac:dyDescent="0.4">
      <c r="A34" s="55">
        <v>37195</v>
      </c>
      <c r="B34" s="14">
        <v>33.9</v>
      </c>
      <c r="C34" s="14">
        <v>37.04</v>
      </c>
      <c r="D34" s="14">
        <v>28.16</v>
      </c>
      <c r="E34" s="14">
        <v>28.81</v>
      </c>
      <c r="F34" s="10">
        <f t="shared" si="0"/>
        <v>0.16977225672877841</v>
      </c>
      <c r="G34" s="51">
        <v>1.7841517791571107</v>
      </c>
      <c r="H34" s="51">
        <v>2.5227091487008293</v>
      </c>
      <c r="I34" s="51">
        <v>1.7136538702265207</v>
      </c>
      <c r="J34" s="51">
        <v>2.3468457141588761</v>
      </c>
      <c r="K34" s="10">
        <f t="shared" si="1"/>
        <v>0.42506484099612907</v>
      </c>
    </row>
    <row r="35" spans="1:11" x14ac:dyDescent="0.4">
      <c r="A35" s="55">
        <v>37225</v>
      </c>
      <c r="B35" s="14">
        <v>39.65</v>
      </c>
      <c r="C35" s="14">
        <v>40.96</v>
      </c>
      <c r="D35" s="14">
        <v>33.799999999999997</v>
      </c>
      <c r="E35" s="14">
        <v>34.479999999999997</v>
      </c>
      <c r="F35" s="10">
        <f t="shared" si="0"/>
        <v>0.1696165191740413</v>
      </c>
      <c r="G35" s="51">
        <v>2.3220395724725336</v>
      </c>
      <c r="H35" s="51">
        <v>2.8100020958084437</v>
      </c>
      <c r="I35" s="51">
        <v>2.2190678264639789</v>
      </c>
      <c r="J35" s="51">
        <v>2.2600631473224988</v>
      </c>
      <c r="K35" s="10">
        <f t="shared" si="1"/>
        <v>0.3014809612047345</v>
      </c>
    </row>
    <row r="36" spans="1:11" x14ac:dyDescent="0.4">
      <c r="A36" s="55">
        <v>37256</v>
      </c>
      <c r="B36" s="14">
        <v>38.909999999999997</v>
      </c>
      <c r="C36" s="14">
        <v>43.24</v>
      </c>
      <c r="D36" s="14">
        <v>38.68</v>
      </c>
      <c r="E36" s="14">
        <v>39.26</v>
      </c>
      <c r="F36" s="10">
        <f t="shared" si="0"/>
        <v>-1.8663303909205599E-2</v>
      </c>
      <c r="G36" s="51">
        <v>2.3552533900144046</v>
      </c>
      <c r="H36" s="51">
        <v>2.7274348818909746</v>
      </c>
      <c r="I36" s="51">
        <v>2.0392890093129181</v>
      </c>
      <c r="J36" s="51">
        <v>2.2138342610542381</v>
      </c>
      <c r="K36" s="10">
        <f t="shared" si="1"/>
        <v>1.43037258863356E-2</v>
      </c>
    </row>
    <row r="37" spans="1:11" x14ac:dyDescent="0.4">
      <c r="A37" s="55">
        <v>37287</v>
      </c>
      <c r="B37" s="14">
        <v>38.51</v>
      </c>
      <c r="C37" s="14">
        <v>42.59</v>
      </c>
      <c r="D37" s="14">
        <v>36.85</v>
      </c>
      <c r="E37" s="14">
        <v>39.56</v>
      </c>
      <c r="F37" s="10">
        <f t="shared" si="0"/>
        <v>-1.0280133641737308E-2</v>
      </c>
      <c r="G37" s="51">
        <v>2.2180331414273895</v>
      </c>
      <c r="H37" s="51">
        <v>2.2718924481142273</v>
      </c>
      <c r="I37" s="51">
        <v>1.6443617868302376</v>
      </c>
      <c r="J37" s="51">
        <v>1.7034028787857249</v>
      </c>
      <c r="K37" s="10">
        <f t="shared" si="1"/>
        <v>-5.8261352756688256E-2</v>
      </c>
    </row>
    <row r="38" spans="1:11" x14ac:dyDescent="0.4">
      <c r="A38" s="55">
        <v>37315</v>
      </c>
      <c r="B38" s="14">
        <v>33.78</v>
      </c>
      <c r="C38" s="14">
        <v>38.869999999999997</v>
      </c>
      <c r="D38" s="14">
        <v>33.1</v>
      </c>
      <c r="E38" s="14">
        <v>38.4</v>
      </c>
      <c r="F38" s="10">
        <f t="shared" si="0"/>
        <v>-0.12282524019735126</v>
      </c>
      <c r="G38" s="51">
        <v>1.7542318988794035</v>
      </c>
      <c r="H38" s="51">
        <v>2.3082653795857855</v>
      </c>
      <c r="I38" s="51">
        <v>1.7452507922901814</v>
      </c>
      <c r="J38" s="51">
        <v>1.9411074703622033</v>
      </c>
      <c r="K38" s="10">
        <f t="shared" si="1"/>
        <v>-0.20910473963861159</v>
      </c>
    </row>
    <row r="39" spans="1:11" x14ac:dyDescent="0.4">
      <c r="A39" s="55">
        <v>37346</v>
      </c>
      <c r="B39" s="14">
        <v>36.06</v>
      </c>
      <c r="C39" s="14">
        <v>39.18</v>
      </c>
      <c r="D39" s="14">
        <v>34.090000000000003</v>
      </c>
      <c r="E39" s="14">
        <v>34.19</v>
      </c>
      <c r="F39" s="10">
        <f t="shared" si="0"/>
        <v>6.7495559502664323E-2</v>
      </c>
      <c r="G39" s="51">
        <v>1.92784257029297</v>
      </c>
      <c r="H39" s="51">
        <v>2.0463881509431006</v>
      </c>
      <c r="I39" s="51">
        <v>1.4025246817978576</v>
      </c>
      <c r="J39" s="51">
        <v>1.5029282794732308</v>
      </c>
      <c r="K39" s="10">
        <f t="shared" si="1"/>
        <v>9.8966773734115984E-2</v>
      </c>
    </row>
    <row r="40" spans="1:11" x14ac:dyDescent="0.4">
      <c r="A40" s="55">
        <v>37376</v>
      </c>
      <c r="B40" s="14">
        <v>31.73</v>
      </c>
      <c r="C40" s="14">
        <v>36.89</v>
      </c>
      <c r="D40" s="14">
        <v>30.57</v>
      </c>
      <c r="E40" s="14">
        <v>35.81</v>
      </c>
      <c r="F40" s="10">
        <f t="shared" si="0"/>
        <v>-0.12007764836383809</v>
      </c>
      <c r="G40" s="51">
        <v>1.5086957390327489</v>
      </c>
      <c r="H40" s="51">
        <v>1.6997654349667259</v>
      </c>
      <c r="I40" s="51">
        <v>1.2129753871625057</v>
      </c>
      <c r="J40" s="51">
        <v>1.3470942975241711</v>
      </c>
      <c r="K40" s="10">
        <f t="shared" si="1"/>
        <v>-0.21741756184817743</v>
      </c>
    </row>
    <row r="41" spans="1:11" x14ac:dyDescent="0.4">
      <c r="A41" s="55">
        <v>37407</v>
      </c>
      <c r="B41" s="14">
        <v>30.04</v>
      </c>
      <c r="C41" s="14">
        <v>33.630000000000003</v>
      </c>
      <c r="D41" s="14">
        <v>28.44</v>
      </c>
      <c r="E41" s="14">
        <v>31.69</v>
      </c>
      <c r="F41" s="10">
        <f t="shared" si="0"/>
        <v>-5.3261897258115386E-2</v>
      </c>
      <c r="G41" s="51">
        <v>1.3537798525282523</v>
      </c>
      <c r="H41" s="51">
        <v>1.3752637351249168</v>
      </c>
      <c r="I41" s="51">
        <v>0.89336185804559065</v>
      </c>
      <c r="J41" s="51">
        <v>1.0169020592616014</v>
      </c>
      <c r="K41" s="10">
        <f t="shared" si="1"/>
        <v>-0.10268199378876477</v>
      </c>
    </row>
    <row r="42" spans="1:11" x14ac:dyDescent="0.4">
      <c r="A42" s="55">
        <v>37437</v>
      </c>
      <c r="B42" s="14">
        <v>26.07</v>
      </c>
      <c r="C42" s="14">
        <v>30.23</v>
      </c>
      <c r="D42" s="14">
        <v>24.4</v>
      </c>
      <c r="E42" s="14">
        <v>29.97</v>
      </c>
      <c r="F42" s="10">
        <f t="shared" si="0"/>
        <v>-0.13215712383488679</v>
      </c>
      <c r="G42" s="51">
        <v>1.0144938131396639</v>
      </c>
      <c r="H42" s="51">
        <v>1.0594104468518692</v>
      </c>
      <c r="I42" s="51">
        <v>0.70326388277402418</v>
      </c>
      <c r="J42" s="51">
        <v>0.84913135685667018</v>
      </c>
      <c r="K42" s="10">
        <f t="shared" si="1"/>
        <v>-0.25062127993333227</v>
      </c>
    </row>
    <row r="43" spans="1:11" x14ac:dyDescent="0.4">
      <c r="A43" s="55">
        <v>37468</v>
      </c>
      <c r="B43" s="14">
        <v>23.85</v>
      </c>
      <c r="C43" s="14">
        <v>26.51</v>
      </c>
      <c r="D43" s="14">
        <v>21.68</v>
      </c>
      <c r="E43" s="14">
        <v>25.98</v>
      </c>
      <c r="F43" s="10">
        <f t="shared" si="0"/>
        <v>-8.5155350978135744E-2</v>
      </c>
      <c r="G43" s="51">
        <v>0.84774837557194616</v>
      </c>
      <c r="H43" s="51">
        <v>1.0324505069013352</v>
      </c>
      <c r="I43" s="51">
        <v>0.68133862145356472</v>
      </c>
      <c r="J43" s="51">
        <v>0.82369066800189694</v>
      </c>
      <c r="K43" s="10">
        <f t="shared" si="1"/>
        <v>-0.16436318823046597</v>
      </c>
    </row>
    <row r="44" spans="1:11" x14ac:dyDescent="0.4">
      <c r="A44" s="55">
        <v>37499</v>
      </c>
      <c r="B44" s="14">
        <v>23.49</v>
      </c>
      <c r="C44" s="14">
        <v>26.21</v>
      </c>
      <c r="D44" s="14">
        <v>21.3</v>
      </c>
      <c r="E44" s="14">
        <v>23.78</v>
      </c>
      <c r="F44" s="10">
        <f t="shared" si="0"/>
        <v>-1.5094339622641634E-2</v>
      </c>
      <c r="G44" s="51">
        <v>0.79987865061285246</v>
      </c>
      <c r="H44" s="51">
        <v>0.89111378948389153</v>
      </c>
      <c r="I44" s="51">
        <v>0.63050387230133143</v>
      </c>
      <c r="J44" s="51">
        <v>0.64088125966805487</v>
      </c>
      <c r="K44" s="10">
        <f t="shared" si="1"/>
        <v>-5.6466902607507405E-2</v>
      </c>
    </row>
    <row r="45" spans="1:11" x14ac:dyDescent="0.4">
      <c r="A45" s="55">
        <v>37529</v>
      </c>
      <c r="B45" s="14">
        <v>20.72</v>
      </c>
      <c r="C45" s="14">
        <v>24.35</v>
      </c>
      <c r="D45" s="14">
        <v>20.49</v>
      </c>
      <c r="E45" s="14">
        <v>23.01</v>
      </c>
      <c r="F45" s="10">
        <f t="shared" si="0"/>
        <v>-0.11792252022137079</v>
      </c>
      <c r="G45" s="51">
        <v>0.65767843637689771</v>
      </c>
      <c r="H45" s="51">
        <v>0.94233195133502712</v>
      </c>
      <c r="I45" s="51">
        <v>0.58637807291272181</v>
      </c>
      <c r="J45" s="51">
        <v>0.8997069383042311</v>
      </c>
      <c r="K45" s="10">
        <f t="shared" si="1"/>
        <v>-0.17777723424297365</v>
      </c>
    </row>
    <row r="46" spans="1:11" x14ac:dyDescent="0.4">
      <c r="A46" s="55">
        <v>37560</v>
      </c>
      <c r="B46" s="14">
        <v>24.55</v>
      </c>
      <c r="C46" s="14">
        <v>25.04</v>
      </c>
      <c r="D46" s="14">
        <v>19.760000000000002</v>
      </c>
      <c r="E46" s="14">
        <v>20.95</v>
      </c>
      <c r="F46" s="10">
        <f t="shared" si="0"/>
        <v>0.18484555984555995</v>
      </c>
      <c r="G46" s="51">
        <v>0.89333969298024163</v>
      </c>
      <c r="H46" s="51">
        <v>1.202821434480061</v>
      </c>
      <c r="I46" s="51">
        <v>0.87514161677887048</v>
      </c>
      <c r="J46" s="51">
        <v>1.1470557668212018</v>
      </c>
      <c r="K46" s="10">
        <f t="shared" si="1"/>
        <v>0.35832291826623436</v>
      </c>
    </row>
    <row r="47" spans="1:11" x14ac:dyDescent="0.4">
      <c r="A47" s="55">
        <v>37590</v>
      </c>
      <c r="B47" s="14">
        <v>27.72</v>
      </c>
      <c r="C47" s="14">
        <v>29.7</v>
      </c>
      <c r="D47" s="14">
        <v>24.14</v>
      </c>
      <c r="E47" s="14">
        <v>24.41</v>
      </c>
      <c r="F47" s="10">
        <f t="shared" si="0"/>
        <v>0.12912423625254574</v>
      </c>
      <c r="G47" s="51">
        <v>1.2149367925328893</v>
      </c>
      <c r="H47" s="51">
        <v>1.2457147104865949</v>
      </c>
      <c r="I47" s="51">
        <v>0.88532197046007244</v>
      </c>
      <c r="J47" s="51">
        <v>0.88656219104665057</v>
      </c>
      <c r="K47" s="10">
        <f t="shared" si="1"/>
        <v>0.35999419042915021</v>
      </c>
    </row>
    <row r="48" spans="1:11" x14ac:dyDescent="0.4">
      <c r="A48" s="55">
        <v>37621</v>
      </c>
      <c r="B48" s="14">
        <v>24.37</v>
      </c>
      <c r="C48" s="14">
        <v>28.79</v>
      </c>
      <c r="D48" s="14">
        <v>24.28</v>
      </c>
      <c r="E48" s="14">
        <v>28.49</v>
      </c>
      <c r="F48" s="10">
        <f t="shared" si="0"/>
        <v>-0.12085137085137078</v>
      </c>
      <c r="G48" s="51">
        <v>0.91918395478258419</v>
      </c>
      <c r="H48" s="51">
        <v>1.1341030549341009</v>
      </c>
      <c r="I48" s="51">
        <v>0.86574135094446392</v>
      </c>
      <c r="J48" s="51">
        <v>0.89166259974330142</v>
      </c>
      <c r="K48" s="10">
        <f t="shared" si="1"/>
        <v>-0.24343063735334106</v>
      </c>
    </row>
    <row r="49" spans="1:11" x14ac:dyDescent="0.4">
      <c r="A49" s="55">
        <v>37652</v>
      </c>
      <c r="B49" s="14">
        <v>24.44</v>
      </c>
      <c r="C49" s="14">
        <v>27.47</v>
      </c>
      <c r="D49" s="14">
        <v>24.01</v>
      </c>
      <c r="E49" s="14">
        <v>24.75</v>
      </c>
      <c r="F49" s="10">
        <f t="shared" si="0"/>
        <v>2.8723840787854035E-3</v>
      </c>
      <c r="G49" s="51">
        <v>0.90437066916389108</v>
      </c>
      <c r="H49" s="51">
        <v>0.96733344109184427</v>
      </c>
      <c r="I49" s="51">
        <v>0.81669694972967943</v>
      </c>
      <c r="J49" s="51">
        <v>0.94497296898946137</v>
      </c>
      <c r="K49" s="10">
        <f t="shared" si="1"/>
        <v>-1.611569212192886E-2</v>
      </c>
    </row>
    <row r="50" spans="1:11" x14ac:dyDescent="0.4">
      <c r="A50" s="55">
        <v>37680</v>
      </c>
      <c r="B50" s="14">
        <v>25.16</v>
      </c>
      <c r="C50" s="14">
        <v>25.37</v>
      </c>
      <c r="D50" s="14">
        <v>23.32</v>
      </c>
      <c r="E50" s="14">
        <v>24.55</v>
      </c>
      <c r="F50" s="10">
        <f t="shared" si="0"/>
        <v>2.9459901800327284E-2</v>
      </c>
      <c r="G50" s="51">
        <v>0.96054125154504233</v>
      </c>
      <c r="H50" s="51">
        <v>1.1266839013998924</v>
      </c>
      <c r="I50" s="51">
        <v>0.83217908258085727</v>
      </c>
      <c r="J50" s="51">
        <v>0.95174559850556362</v>
      </c>
      <c r="K50" s="10">
        <f t="shared" si="1"/>
        <v>6.2110132820961658E-2</v>
      </c>
    </row>
    <row r="51" spans="1:11" x14ac:dyDescent="0.4">
      <c r="A51" s="55">
        <v>37711</v>
      </c>
      <c r="B51" s="14">
        <v>26.08</v>
      </c>
      <c r="C51" s="14">
        <v>27.76</v>
      </c>
      <c r="D51" s="14">
        <v>23.54</v>
      </c>
      <c r="E51" s="14">
        <v>25.28</v>
      </c>
      <c r="F51" s="10">
        <f t="shared" si="0"/>
        <v>3.6565977742448255E-2</v>
      </c>
      <c r="G51" s="51">
        <v>0.97350858360616532</v>
      </c>
      <c r="H51" s="51">
        <v>1.183342698731072</v>
      </c>
      <c r="I51" s="51">
        <v>0.95747315486090434</v>
      </c>
      <c r="J51" s="51">
        <v>1.1248195119518052</v>
      </c>
      <c r="K51" s="10">
        <f t="shared" si="1"/>
        <v>1.3500026199046508E-2</v>
      </c>
    </row>
    <row r="52" spans="1:11" x14ac:dyDescent="0.4">
      <c r="A52" s="55">
        <v>37741</v>
      </c>
      <c r="B52" s="14">
        <v>27.45</v>
      </c>
      <c r="C52" s="14">
        <v>28.06</v>
      </c>
      <c r="D52" s="14">
        <v>25.16</v>
      </c>
      <c r="E52" s="14">
        <v>25.47</v>
      </c>
      <c r="F52" s="10">
        <f t="shared" si="0"/>
        <v>5.2530674846625811E-2</v>
      </c>
      <c r="G52" s="51">
        <v>1.1325927642933957</v>
      </c>
      <c r="H52" s="51">
        <v>1.3409287656240214</v>
      </c>
      <c r="I52" s="51">
        <v>1.1102538516784686</v>
      </c>
      <c r="J52" s="51">
        <v>1.3247659214582648</v>
      </c>
      <c r="K52" s="10">
        <f t="shared" si="1"/>
        <v>0.16341322856952661</v>
      </c>
    </row>
    <row r="53" spans="1:11" x14ac:dyDescent="0.4">
      <c r="A53" s="55">
        <v>37772</v>
      </c>
      <c r="B53" s="14">
        <v>29.79</v>
      </c>
      <c r="C53" s="14">
        <v>29.87</v>
      </c>
      <c r="D53" s="14">
        <v>27.19</v>
      </c>
      <c r="E53" s="14">
        <v>27.44</v>
      </c>
      <c r="F53" s="10">
        <f t="shared" si="0"/>
        <v>8.5245901639344257E-2</v>
      </c>
      <c r="G53" s="51">
        <v>1.3610096386206874</v>
      </c>
      <c r="H53" s="51">
        <v>1.4884309474998443</v>
      </c>
      <c r="I53" s="51">
        <v>1.2901358652767789</v>
      </c>
      <c r="J53" s="51">
        <v>1.3390345859943913</v>
      </c>
      <c r="K53" s="10">
        <f t="shared" si="1"/>
        <v>0.20167608475743426</v>
      </c>
    </row>
    <row r="54" spans="1:11" x14ac:dyDescent="0.4">
      <c r="A54" s="55">
        <v>37802</v>
      </c>
      <c r="B54" s="14">
        <v>29.95</v>
      </c>
      <c r="C54" s="14">
        <v>31.47</v>
      </c>
      <c r="D54" s="14">
        <v>28.66</v>
      </c>
      <c r="E54" s="14">
        <v>30.08</v>
      </c>
      <c r="F54" s="10">
        <f t="shared" si="0"/>
        <v>5.3709298422289411E-3</v>
      </c>
      <c r="G54" s="51">
        <v>1.3268397228124118</v>
      </c>
      <c r="H54" s="51">
        <v>1.6119732913379345</v>
      </c>
      <c r="I54" s="51">
        <v>1.2857380156433158</v>
      </c>
      <c r="J54" s="51">
        <v>1.5095667616927704</v>
      </c>
      <c r="K54" s="10">
        <f t="shared" si="1"/>
        <v>-2.5106299645978252E-2</v>
      </c>
    </row>
    <row r="55" spans="1:11" x14ac:dyDescent="0.4">
      <c r="A55" s="55">
        <v>37833</v>
      </c>
      <c r="B55" s="14">
        <v>31.8</v>
      </c>
      <c r="C55" s="14">
        <v>32.75</v>
      </c>
      <c r="D55" s="14">
        <v>29.26</v>
      </c>
      <c r="E55" s="14">
        <v>29.7</v>
      </c>
      <c r="F55" s="10">
        <f t="shared" si="0"/>
        <v>6.1769616026711237E-2</v>
      </c>
      <c r="G55" s="51">
        <v>1.5106019564012956</v>
      </c>
      <c r="H55" s="51">
        <v>1.6826240047244119</v>
      </c>
      <c r="I55" s="51">
        <v>1.3452942162421047</v>
      </c>
      <c r="J55" s="51">
        <v>1.6642973597506985</v>
      </c>
      <c r="K55" s="10">
        <f t="shared" si="1"/>
        <v>0.13849618038219075</v>
      </c>
    </row>
    <row r="56" spans="1:11" x14ac:dyDescent="0.4">
      <c r="A56" s="55">
        <v>37864</v>
      </c>
      <c r="B56" s="14">
        <v>33.39</v>
      </c>
      <c r="C56" s="14">
        <v>33.46</v>
      </c>
      <c r="D56" s="14">
        <v>29.93</v>
      </c>
      <c r="E56" s="14">
        <v>31.68</v>
      </c>
      <c r="F56" s="10">
        <f t="shared" si="0"/>
        <v>4.9999999999999996E-2</v>
      </c>
      <c r="G56" s="51">
        <v>1.6870808041433074</v>
      </c>
      <c r="H56" s="51">
        <v>1.826375293465087</v>
      </c>
      <c r="I56" s="51">
        <v>1.5726094971929723</v>
      </c>
      <c r="J56" s="51">
        <v>1.5690041040035096</v>
      </c>
      <c r="K56" s="10">
        <f t="shared" si="1"/>
        <v>0.11682683647678908</v>
      </c>
    </row>
    <row r="57" spans="1:11" x14ac:dyDescent="0.4">
      <c r="A57" s="55">
        <v>37894</v>
      </c>
      <c r="B57" s="14">
        <v>32.42</v>
      </c>
      <c r="C57" s="14">
        <v>34.86</v>
      </c>
      <c r="D57" s="14">
        <v>32.36</v>
      </c>
      <c r="E57" s="14">
        <v>33.53</v>
      </c>
      <c r="F57" s="10">
        <f t="shared" si="0"/>
        <v>-2.9050613956274299E-2</v>
      </c>
      <c r="G57" s="51">
        <v>1.5995844046758692</v>
      </c>
      <c r="H57" s="51">
        <v>1.947781491124259</v>
      </c>
      <c r="I57" s="51">
        <v>1.5784462904885865</v>
      </c>
      <c r="J57" s="51">
        <v>1.8475226966264127</v>
      </c>
      <c r="K57" s="10">
        <f t="shared" si="1"/>
        <v>-5.1862601514139427E-2</v>
      </c>
    </row>
    <row r="58" spans="1:11" x14ac:dyDescent="0.4">
      <c r="A58" s="55">
        <v>37925</v>
      </c>
      <c r="B58" s="14">
        <v>35.18</v>
      </c>
      <c r="C58" s="14">
        <v>36</v>
      </c>
      <c r="D58" s="14">
        <v>32.42</v>
      </c>
      <c r="E58" s="14">
        <v>32.61</v>
      </c>
      <c r="F58" s="10">
        <f t="shared" si="0"/>
        <v>8.5132634176434227E-2</v>
      </c>
      <c r="G58" s="51">
        <v>1.8881993408921578</v>
      </c>
      <c r="H58" s="51">
        <v>1.9673080005727799</v>
      </c>
      <c r="I58" s="51">
        <v>1.7085847421844103</v>
      </c>
      <c r="J58" s="51">
        <v>1.8685890253888948</v>
      </c>
      <c r="K58" s="10">
        <f t="shared" si="1"/>
        <v>0.18043120161250381</v>
      </c>
    </row>
    <row r="59" spans="1:11" x14ac:dyDescent="0.4">
      <c r="A59" s="55">
        <v>37955</v>
      </c>
      <c r="B59" s="14">
        <v>35.380000000000003</v>
      </c>
      <c r="C59" s="14">
        <v>36.18</v>
      </c>
      <c r="D59" s="14">
        <v>33.729999999999997</v>
      </c>
      <c r="E59" s="14">
        <v>35.46</v>
      </c>
      <c r="F59" s="10">
        <f t="shared" si="0"/>
        <v>5.6850483229108255E-3</v>
      </c>
      <c r="G59" s="51">
        <v>1.918161690838297</v>
      </c>
      <c r="H59" s="51">
        <v>2.0176514291461305</v>
      </c>
      <c r="I59" s="51">
        <v>1.7493489287114772</v>
      </c>
      <c r="J59" s="51">
        <v>1.9844100458434597</v>
      </c>
      <c r="K59" s="10">
        <f t="shared" si="1"/>
        <v>1.5868213327509303E-2</v>
      </c>
    </row>
    <row r="60" spans="1:11" x14ac:dyDescent="0.4">
      <c r="A60" s="55">
        <v>37986</v>
      </c>
      <c r="B60" s="14">
        <v>36.46</v>
      </c>
      <c r="C60" s="14">
        <v>36.64</v>
      </c>
      <c r="D60" s="14">
        <v>34.130000000000003</v>
      </c>
      <c r="E60" s="14">
        <v>35.69</v>
      </c>
      <c r="F60" s="10">
        <f t="shared" si="0"/>
        <v>3.0525720746184235E-2</v>
      </c>
      <c r="G60" s="51">
        <v>2.0215777933027983</v>
      </c>
      <c r="H60" s="51">
        <v>2.2859379999999989</v>
      </c>
      <c r="I60" s="51">
        <v>1.9701566427335049</v>
      </c>
      <c r="J60" s="51">
        <v>2.0513666191280202</v>
      </c>
      <c r="K60" s="10">
        <f t="shared" si="1"/>
        <v>5.3914173637419058E-2</v>
      </c>
    </row>
    <row r="61" spans="1:11" x14ac:dyDescent="0.4">
      <c r="A61" s="55">
        <v>38017</v>
      </c>
      <c r="B61" s="14">
        <v>37.07</v>
      </c>
      <c r="C61" s="14">
        <v>39</v>
      </c>
      <c r="D61" s="14">
        <v>36.22</v>
      </c>
      <c r="E61" s="14">
        <v>36.659999999999997</v>
      </c>
      <c r="F61" s="10">
        <f t="shared" si="0"/>
        <v>1.6730663741086105E-2</v>
      </c>
      <c r="G61" s="51">
        <v>2.08157201315991</v>
      </c>
      <c r="H61" s="51">
        <v>2.1667881422079769</v>
      </c>
      <c r="I61" s="51">
        <v>1.9571233438088955</v>
      </c>
      <c r="J61" s="51">
        <v>1.9964021678985724</v>
      </c>
      <c r="K61" s="10">
        <f t="shared" si="1"/>
        <v>2.9676928612821188E-2</v>
      </c>
    </row>
    <row r="62" spans="1:11" x14ac:dyDescent="0.4">
      <c r="A62" s="55">
        <v>38046</v>
      </c>
      <c r="B62" s="14">
        <v>36.57</v>
      </c>
      <c r="C62" s="14">
        <v>37.97</v>
      </c>
      <c r="D62" s="14">
        <v>35.9</v>
      </c>
      <c r="E62" s="14">
        <v>37.200000000000003</v>
      </c>
      <c r="F62" s="10">
        <f t="shared" si="0"/>
        <v>-1.348799568384138E-2</v>
      </c>
      <c r="G62" s="51">
        <v>2.0237841536224521</v>
      </c>
      <c r="H62" s="51">
        <v>2.0775620516444433</v>
      </c>
      <c r="I62" s="51">
        <v>1.7370689371742878</v>
      </c>
      <c r="J62" s="51">
        <v>1.9174944433773138</v>
      </c>
      <c r="K62" s="10">
        <f t="shared" si="1"/>
        <v>-2.7761643206248538E-2</v>
      </c>
    </row>
    <row r="63" spans="1:11" x14ac:dyDescent="0.4">
      <c r="A63" s="55">
        <v>38077</v>
      </c>
      <c r="B63" s="14">
        <v>35.840000000000003</v>
      </c>
      <c r="C63" s="14">
        <v>37.18</v>
      </c>
      <c r="D63" s="14">
        <v>34.01</v>
      </c>
      <c r="E63" s="14">
        <v>36.68</v>
      </c>
      <c r="F63" s="10">
        <f t="shared" si="0"/>
        <v>-1.996171725458017E-2</v>
      </c>
      <c r="G63" s="51">
        <v>1.9289199432271322</v>
      </c>
      <c r="H63" s="51">
        <v>2.113478180473372</v>
      </c>
      <c r="I63" s="51">
        <v>1.8103531391065373</v>
      </c>
      <c r="J63" s="51">
        <v>1.8047102854630521</v>
      </c>
      <c r="K63" s="10">
        <f t="shared" si="1"/>
        <v>-4.6874668044770806E-2</v>
      </c>
    </row>
    <row r="64" spans="1:11" x14ac:dyDescent="0.4">
      <c r="A64" s="55">
        <v>38107</v>
      </c>
      <c r="B64" s="14">
        <v>34.770000000000003</v>
      </c>
      <c r="C64" s="14">
        <v>37.5</v>
      </c>
      <c r="D64" s="14">
        <v>34.72</v>
      </c>
      <c r="E64" s="14">
        <v>35.81</v>
      </c>
      <c r="F64" s="10">
        <f t="shared" si="0"/>
        <v>-2.9854910714285719E-2</v>
      </c>
      <c r="G64" s="51">
        <v>1.8426447992745656</v>
      </c>
      <c r="H64" s="51">
        <v>2.0077515594628093</v>
      </c>
      <c r="I64" s="51">
        <v>1.7472993109876407</v>
      </c>
      <c r="J64" s="51">
        <v>1.994219005720971</v>
      </c>
      <c r="K64" s="10">
        <f t="shared" si="1"/>
        <v>-4.4727177120801667E-2</v>
      </c>
    </row>
    <row r="65" spans="1:11" x14ac:dyDescent="0.4">
      <c r="A65" s="55">
        <v>38138</v>
      </c>
      <c r="B65" s="14">
        <v>36.549999999999997</v>
      </c>
      <c r="C65" s="14">
        <v>36.549999999999997</v>
      </c>
      <c r="D65" s="14">
        <v>34.11</v>
      </c>
      <c r="E65" s="14">
        <v>35</v>
      </c>
      <c r="F65" s="10">
        <f t="shared" si="0"/>
        <v>5.1193557664653264E-2</v>
      </c>
      <c r="G65" s="51">
        <v>1.9787942886233487</v>
      </c>
      <c r="H65" s="51">
        <v>2.15880640968324</v>
      </c>
      <c r="I65" s="51">
        <v>1.926881488078348</v>
      </c>
      <c r="J65" s="51">
        <v>2.1261894055775583</v>
      </c>
      <c r="K65" s="10">
        <f t="shared" si="1"/>
        <v>7.3888081632653285E-2</v>
      </c>
    </row>
    <row r="66" spans="1:11" x14ac:dyDescent="0.4">
      <c r="A66" s="55">
        <v>38168</v>
      </c>
      <c r="B66" s="14">
        <v>37.74</v>
      </c>
      <c r="C66" s="14">
        <v>37.9</v>
      </c>
      <c r="D66" s="14">
        <v>35.82</v>
      </c>
      <c r="E66" s="14">
        <v>36.270000000000003</v>
      </c>
      <c r="F66" s="10">
        <f t="shared" si="0"/>
        <v>3.2558139534883852E-2</v>
      </c>
      <c r="G66" s="51">
        <v>2.1333699251249092</v>
      </c>
      <c r="H66" s="51">
        <v>2.1315516689761984</v>
      </c>
      <c r="I66" s="51">
        <v>1.7055469099541956</v>
      </c>
      <c r="J66" s="51">
        <v>1.8171886940805926</v>
      </c>
      <c r="K66" s="10">
        <f t="shared" si="1"/>
        <v>7.8116071685803715E-2</v>
      </c>
    </row>
    <row r="67" spans="1:11" x14ac:dyDescent="0.4">
      <c r="A67" s="55">
        <v>38199</v>
      </c>
      <c r="B67" s="14">
        <v>34.89</v>
      </c>
      <c r="C67" s="14">
        <v>37.659999999999997</v>
      </c>
      <c r="D67" s="14">
        <v>33.700000000000003</v>
      </c>
      <c r="E67" s="14">
        <v>37.659999999999997</v>
      </c>
      <c r="F67" s="10">
        <f t="shared" si="0"/>
        <v>-7.5516693163752022E-2</v>
      </c>
      <c r="G67" s="51">
        <v>1.8018090366636665</v>
      </c>
      <c r="H67" s="51">
        <v>1.8431790122124911</v>
      </c>
      <c r="I67" s="51">
        <v>1.5716374093691177</v>
      </c>
      <c r="J67" s="51">
        <v>1.7276936246793666</v>
      </c>
      <c r="K67" s="10">
        <f t="shared" si="1"/>
        <v>-0.15541650069986324</v>
      </c>
    </row>
    <row r="68" spans="1:11" x14ac:dyDescent="0.4">
      <c r="A68" s="55">
        <v>38230</v>
      </c>
      <c r="B68" s="14">
        <v>34.020000000000003</v>
      </c>
      <c r="C68" s="14">
        <v>35.020000000000003</v>
      </c>
      <c r="D68" s="14">
        <v>32</v>
      </c>
      <c r="E68" s="14">
        <v>34.61</v>
      </c>
      <c r="F68" s="10">
        <f t="shared" ref="F68:F131" si="2">(B68-B67)/B67</f>
        <v>-2.4935511607910504E-2</v>
      </c>
      <c r="G68" s="51">
        <v>1.7317023899398918</v>
      </c>
      <c r="H68" s="51">
        <v>1.9315835788307025</v>
      </c>
      <c r="I68" s="51">
        <v>1.7156836644471827</v>
      </c>
      <c r="J68" s="51">
        <v>1.8433236778507536</v>
      </c>
      <c r="K68" s="10">
        <f t="shared" si="1"/>
        <v>-3.8909032698375333E-2</v>
      </c>
    </row>
    <row r="69" spans="1:11" x14ac:dyDescent="0.4">
      <c r="A69" s="55">
        <v>38260</v>
      </c>
      <c r="B69" s="14">
        <v>35.14</v>
      </c>
      <c r="C69" s="14">
        <v>35.85</v>
      </c>
      <c r="D69" s="14">
        <v>33.799999999999997</v>
      </c>
      <c r="E69" s="14">
        <v>33.93</v>
      </c>
      <c r="F69" s="10">
        <f t="shared" si="2"/>
        <v>3.2921810699588397E-2</v>
      </c>
      <c r="G69" s="51">
        <v>1.8903318012276433</v>
      </c>
      <c r="H69" s="51">
        <v>2.0842731041565625</v>
      </c>
      <c r="I69" s="51">
        <v>1.8607549929692628</v>
      </c>
      <c r="J69" s="51">
        <v>2.0325951806431752</v>
      </c>
      <c r="K69" s="10">
        <f t="shared" ref="K69:K132" si="3">(G69-G68)/G68</f>
        <v>9.1603160109548415E-2</v>
      </c>
    </row>
    <row r="70" spans="1:11" x14ac:dyDescent="0.4">
      <c r="A70" s="55">
        <v>38291</v>
      </c>
      <c r="B70" s="14">
        <v>36.9</v>
      </c>
      <c r="C70" s="14">
        <v>37.24</v>
      </c>
      <c r="D70" s="14">
        <v>35.200000000000003</v>
      </c>
      <c r="E70" s="14">
        <v>35.450000000000003</v>
      </c>
      <c r="F70" s="10">
        <f t="shared" si="2"/>
        <v>5.0085372794536086E-2</v>
      </c>
      <c r="G70" s="51">
        <v>2.0570239616015291</v>
      </c>
      <c r="H70" s="51">
        <v>2.3615791334225094</v>
      </c>
      <c r="I70" s="51">
        <v>2.0337588468092265</v>
      </c>
      <c r="J70" s="51">
        <v>2.2845243012269663</v>
      </c>
      <c r="K70" s="10">
        <f t="shared" si="3"/>
        <v>8.8181429453617843E-2</v>
      </c>
    </row>
    <row r="71" spans="1:11" x14ac:dyDescent="0.4">
      <c r="A71" s="55">
        <v>38321</v>
      </c>
      <c r="B71" s="14">
        <v>39.119999999999997</v>
      </c>
      <c r="C71" s="14">
        <v>39.64</v>
      </c>
      <c r="D71" s="14">
        <v>36.799999999999997</v>
      </c>
      <c r="E71" s="14">
        <v>36.979999999999997</v>
      </c>
      <c r="F71" s="10">
        <f t="shared" si="2"/>
        <v>6.0162601626016235E-2</v>
      </c>
      <c r="G71" s="51">
        <v>2.3196760554899627</v>
      </c>
      <c r="H71" s="51">
        <v>2.4871221860165669</v>
      </c>
      <c r="I71" s="51">
        <v>2.2947489628438205</v>
      </c>
      <c r="J71" s="51">
        <v>2.3789161454376049</v>
      </c>
      <c r="K71" s="10">
        <f t="shared" si="3"/>
        <v>0.12768548096247823</v>
      </c>
    </row>
    <row r="72" spans="1:11" x14ac:dyDescent="0.4">
      <c r="A72" s="55">
        <v>38352</v>
      </c>
      <c r="B72" s="14">
        <v>39.92</v>
      </c>
      <c r="C72" s="14">
        <v>40.68</v>
      </c>
      <c r="D72" s="14">
        <v>37.21</v>
      </c>
      <c r="E72" s="14">
        <v>39.270000000000003</v>
      </c>
      <c r="F72" s="10">
        <f t="shared" si="2"/>
        <v>2.0449897750511356E-2</v>
      </c>
      <c r="G72" s="51">
        <v>2.4175621606669035</v>
      </c>
      <c r="H72" s="51">
        <v>2.4396627174139938</v>
      </c>
      <c r="I72" s="51">
        <v>1.9963521240495667</v>
      </c>
      <c r="J72" s="51">
        <v>2.088052254871934</v>
      </c>
      <c r="K72" s="10">
        <f t="shared" si="3"/>
        <v>4.2198178898848582E-2</v>
      </c>
    </row>
    <row r="73" spans="1:11" x14ac:dyDescent="0.4">
      <c r="A73" s="55">
        <v>38383</v>
      </c>
      <c r="B73" s="14">
        <v>37.4</v>
      </c>
      <c r="C73" s="14">
        <v>40.29</v>
      </c>
      <c r="D73" s="14">
        <v>36.46</v>
      </c>
      <c r="E73" s="14">
        <v>40.08</v>
      </c>
      <c r="F73" s="10">
        <f t="shared" si="2"/>
        <v>-6.3126252505010097E-2</v>
      </c>
      <c r="G73" s="51">
        <v>2.1141532456880845</v>
      </c>
      <c r="H73" s="51">
        <v>2.2253860423111096</v>
      </c>
      <c r="I73" s="51">
        <v>2.0227210474724178</v>
      </c>
      <c r="J73" s="51">
        <v>2.0680016124422287</v>
      </c>
      <c r="K73" s="10">
        <f t="shared" si="3"/>
        <v>-0.12550201186765816</v>
      </c>
    </row>
    <row r="74" spans="1:11" x14ac:dyDescent="0.4">
      <c r="A74" s="55">
        <v>38411</v>
      </c>
      <c r="B74" s="14">
        <v>37.22</v>
      </c>
      <c r="C74" s="14">
        <v>38.479999999999997</v>
      </c>
      <c r="D74" s="14">
        <v>36.700000000000003</v>
      </c>
      <c r="E74" s="14">
        <v>37.47</v>
      </c>
      <c r="F74" s="10">
        <f t="shared" si="2"/>
        <v>-4.812834224598923E-3</v>
      </c>
      <c r="G74" s="51">
        <v>2.1006403797263418</v>
      </c>
      <c r="H74" s="51">
        <v>2.203464147247161</v>
      </c>
      <c r="I74" s="51">
        <v>1.9398134343706233</v>
      </c>
      <c r="J74" s="51">
        <v>1.9964021678985724</v>
      </c>
      <c r="K74" s="10">
        <f t="shared" si="3"/>
        <v>-6.3916208483480825E-3</v>
      </c>
    </row>
    <row r="75" spans="1:11" x14ac:dyDescent="0.4">
      <c r="A75" s="55">
        <v>38442</v>
      </c>
      <c r="B75" s="14">
        <v>36.57</v>
      </c>
      <c r="C75" s="14">
        <v>38.29</v>
      </c>
      <c r="D75" s="14">
        <v>35.94</v>
      </c>
      <c r="E75" s="14">
        <v>37.369999999999997</v>
      </c>
      <c r="F75" s="10">
        <f t="shared" si="2"/>
        <v>-1.7463729177861327E-2</v>
      </c>
      <c r="G75" s="51">
        <v>2.0392623699363597</v>
      </c>
      <c r="H75" s="51">
        <v>2.0652869703722541</v>
      </c>
      <c r="I75" s="51">
        <v>1.7719737076907083</v>
      </c>
      <c r="J75" s="51">
        <v>1.8265758965272378</v>
      </c>
      <c r="K75" s="10">
        <f t="shared" si="3"/>
        <v>-2.921871367529269E-2</v>
      </c>
    </row>
    <row r="76" spans="1:11" x14ac:dyDescent="0.4">
      <c r="A76" s="55">
        <v>38472</v>
      </c>
      <c r="B76" s="14">
        <v>34.979999999999997</v>
      </c>
      <c r="C76" s="14">
        <v>37.07</v>
      </c>
      <c r="D76" s="14">
        <v>34.35</v>
      </c>
      <c r="E76" s="14">
        <v>36.75</v>
      </c>
      <c r="F76" s="10">
        <f t="shared" si="2"/>
        <v>-4.3478260869565313E-2</v>
      </c>
      <c r="G76" s="51">
        <v>1.8531890289362742</v>
      </c>
      <c r="H76" s="51">
        <v>2.2011627643919782</v>
      </c>
      <c r="I76" s="51">
        <v>1.8281244427407144</v>
      </c>
      <c r="J76" s="51">
        <v>2.1646716888503823</v>
      </c>
      <c r="K76" s="10">
        <f t="shared" si="3"/>
        <v>-9.1245414882976689E-2</v>
      </c>
    </row>
    <row r="77" spans="1:11" x14ac:dyDescent="0.4">
      <c r="A77" s="55">
        <v>38503</v>
      </c>
      <c r="B77" s="14">
        <v>38.08</v>
      </c>
      <c r="C77" s="14">
        <v>38.270000000000003</v>
      </c>
      <c r="D77" s="14">
        <v>34.89</v>
      </c>
      <c r="E77" s="14">
        <v>35.07</v>
      </c>
      <c r="F77" s="10">
        <f t="shared" si="2"/>
        <v>8.8622069754145272E-2</v>
      </c>
      <c r="G77" s="51">
        <v>2.1754953783865933</v>
      </c>
      <c r="H77" s="51">
        <v>2.2485790700665342</v>
      </c>
      <c r="I77" s="51">
        <v>2.0227210474724178</v>
      </c>
      <c r="J77" s="51">
        <v>2.0193962168211095</v>
      </c>
      <c r="K77" s="10">
        <f t="shared" si="3"/>
        <v>0.17391984542198705</v>
      </c>
    </row>
    <row r="78" spans="1:11" x14ac:dyDescent="0.4">
      <c r="A78" s="55">
        <v>38533</v>
      </c>
      <c r="B78" s="14">
        <v>36.979999999999997</v>
      </c>
      <c r="C78" s="14">
        <v>38.68</v>
      </c>
      <c r="D78" s="14">
        <v>36.700000000000003</v>
      </c>
      <c r="E78" s="14">
        <v>38.03</v>
      </c>
      <c r="F78" s="10">
        <f t="shared" si="2"/>
        <v>-2.8886554621848779E-2</v>
      </c>
      <c r="G78" s="51">
        <v>2.0436956585830517</v>
      </c>
      <c r="H78" s="51">
        <v>2.3950592122186904</v>
      </c>
      <c r="I78" s="51">
        <v>2.0062201137461533</v>
      </c>
      <c r="J78" s="51">
        <v>2.3385665626555179</v>
      </c>
      <c r="K78" s="10">
        <f t="shared" si="3"/>
        <v>-6.0583773752389179E-2</v>
      </c>
    </row>
    <row r="79" spans="1:11" x14ac:dyDescent="0.4">
      <c r="A79" s="55">
        <v>38564</v>
      </c>
      <c r="B79" s="14">
        <v>39.58</v>
      </c>
      <c r="C79" s="14">
        <v>39.92</v>
      </c>
      <c r="D79" s="14">
        <v>36.1</v>
      </c>
      <c r="E79" s="14">
        <v>36.86</v>
      </c>
      <c r="F79" s="10">
        <f t="shared" si="2"/>
        <v>7.0308274743104429E-2</v>
      </c>
      <c r="G79" s="51">
        <v>2.3635936075929038</v>
      </c>
      <c r="H79" s="51">
        <v>2.4215305236487175</v>
      </c>
      <c r="I79" s="51">
        <v>2.1983342555636156</v>
      </c>
      <c r="J79" s="51">
        <v>2.2682022749009438</v>
      </c>
      <c r="K79" s="10">
        <f t="shared" si="3"/>
        <v>0.1565291523061931</v>
      </c>
    </row>
    <row r="80" spans="1:11" x14ac:dyDescent="0.4">
      <c r="A80" s="55">
        <v>38595</v>
      </c>
      <c r="B80" s="14">
        <v>38.979999999999997</v>
      </c>
      <c r="C80" s="14">
        <v>40.14</v>
      </c>
      <c r="D80" s="14">
        <v>38.270000000000003</v>
      </c>
      <c r="E80" s="14">
        <v>39.68</v>
      </c>
      <c r="F80" s="10">
        <f t="shared" si="2"/>
        <v>-1.5159171298635711E-2</v>
      </c>
      <c r="G80" s="51">
        <v>2.2878879507727472</v>
      </c>
      <c r="H80" s="51">
        <v>2.3938596729111103</v>
      </c>
      <c r="I80" s="51">
        <v>2.196037004799726</v>
      </c>
      <c r="J80" s="51">
        <v>2.3244074136390149</v>
      </c>
      <c r="K80" s="10">
        <f t="shared" si="3"/>
        <v>-3.2029895738826128E-2</v>
      </c>
    </row>
    <row r="81" spans="1:11" x14ac:dyDescent="0.4">
      <c r="A81" s="55">
        <v>38625</v>
      </c>
      <c r="B81" s="14">
        <v>39.46</v>
      </c>
      <c r="C81" s="14">
        <v>39.909999999999997</v>
      </c>
      <c r="D81" s="14">
        <v>38.409999999999997</v>
      </c>
      <c r="E81" s="14">
        <v>38.99</v>
      </c>
      <c r="F81" s="10">
        <f t="shared" si="2"/>
        <v>1.2314007183170959E-2</v>
      </c>
      <c r="G81" s="51">
        <v>2.3516835914954126</v>
      </c>
      <c r="H81" s="51">
        <v>2.390262258404745</v>
      </c>
      <c r="I81" s="51">
        <v>2.0927621295837509</v>
      </c>
      <c r="J81" s="51">
        <v>2.2554186694951932</v>
      </c>
      <c r="K81" s="10">
        <f t="shared" si="3"/>
        <v>2.7884075660749939E-2</v>
      </c>
    </row>
    <row r="82" spans="1:11" x14ac:dyDescent="0.4">
      <c r="A82" s="55">
        <v>38656</v>
      </c>
      <c r="B82" s="14">
        <v>38.869999999999997</v>
      </c>
      <c r="C82" s="14">
        <v>39.880000000000003</v>
      </c>
      <c r="D82" s="14">
        <v>37.33</v>
      </c>
      <c r="E82" s="14">
        <v>39.549999999999997</v>
      </c>
      <c r="F82" s="10">
        <f t="shared" si="2"/>
        <v>-1.4951849974657967E-2</v>
      </c>
      <c r="G82" s="51">
        <v>2.2621485681908728</v>
      </c>
      <c r="H82" s="51">
        <v>2.653672532685865</v>
      </c>
      <c r="I82" s="51">
        <v>2.2503504756713806</v>
      </c>
      <c r="J82" s="51">
        <v>2.5388407913151636</v>
      </c>
      <c r="K82" s="10">
        <f t="shared" si="3"/>
        <v>-3.8072733776062677E-2</v>
      </c>
    </row>
    <row r="83" spans="1:11" x14ac:dyDescent="0.4">
      <c r="A83" s="55">
        <v>38686</v>
      </c>
      <c r="B83" s="14">
        <v>41.24</v>
      </c>
      <c r="C83" s="14">
        <v>42.02</v>
      </c>
      <c r="D83" s="14">
        <v>38.71</v>
      </c>
      <c r="E83" s="14">
        <v>38.76</v>
      </c>
      <c r="F83" s="10">
        <f t="shared" si="2"/>
        <v>6.0972472343709921E-2</v>
      </c>
      <c r="G83" s="51">
        <v>2.5918565543230736</v>
      </c>
      <c r="H83" s="51">
        <v>2.6904275671254934</v>
      </c>
      <c r="I83" s="51">
        <v>2.4462800752013241</v>
      </c>
      <c r="J83" s="51">
        <v>2.4376750540927259</v>
      </c>
      <c r="K83" s="10">
        <f t="shared" si="3"/>
        <v>0.1457499258750635</v>
      </c>
    </row>
    <row r="84" spans="1:11" x14ac:dyDescent="0.4">
      <c r="A84" s="55">
        <v>38717</v>
      </c>
      <c r="B84" s="14">
        <v>40.409999999999997</v>
      </c>
      <c r="C84" s="14">
        <v>42.31</v>
      </c>
      <c r="D84" s="14">
        <v>40.36</v>
      </c>
      <c r="E84" s="14">
        <v>41.51</v>
      </c>
      <c r="F84" s="10">
        <f t="shared" si="2"/>
        <v>-2.0126091173617976E-2</v>
      </c>
      <c r="G84" s="51">
        <v>2.4855738983210847</v>
      </c>
      <c r="H84" s="51">
        <v>2.8191073936421769</v>
      </c>
      <c r="I84" s="51">
        <v>2.4220954266796282</v>
      </c>
      <c r="J84" s="51">
        <v>2.6332778916009252</v>
      </c>
      <c r="K84" s="10">
        <f t="shared" si="3"/>
        <v>-4.1006380474534879E-2</v>
      </c>
    </row>
    <row r="85" spans="1:11" x14ac:dyDescent="0.4">
      <c r="A85" s="55">
        <v>38748</v>
      </c>
      <c r="B85" s="14">
        <v>41.68</v>
      </c>
      <c r="C85" s="14">
        <v>43.31</v>
      </c>
      <c r="D85" s="14">
        <v>40.159999999999997</v>
      </c>
      <c r="E85" s="14">
        <v>40.64</v>
      </c>
      <c r="F85" s="10">
        <f t="shared" si="2"/>
        <v>3.1427864390002558E-2</v>
      </c>
      <c r="G85" s="51">
        <v>2.6206587215841566</v>
      </c>
      <c r="H85" s="51">
        <v>2.672651876828525</v>
      </c>
      <c r="I85" s="51">
        <v>2.4341724307692965</v>
      </c>
      <c r="J85" s="51">
        <v>2.5216320376192316</v>
      </c>
      <c r="K85" s="10">
        <f t="shared" si="3"/>
        <v>5.434753855208925E-2</v>
      </c>
    </row>
    <row r="86" spans="1:11" x14ac:dyDescent="0.4">
      <c r="A86" s="55">
        <v>38776</v>
      </c>
      <c r="B86" s="14">
        <v>41.1</v>
      </c>
      <c r="C86" s="14">
        <v>42.12</v>
      </c>
      <c r="D86" s="14">
        <v>40.26</v>
      </c>
      <c r="E86" s="14">
        <v>42.12</v>
      </c>
      <c r="F86" s="10">
        <f t="shared" si="2"/>
        <v>-1.3915547024951975E-2</v>
      </c>
      <c r="G86" s="51">
        <v>2.5570087056365263</v>
      </c>
      <c r="H86" s="51">
        <v>2.6891556940365859</v>
      </c>
      <c r="I86" s="51">
        <v>2.4257153260276945</v>
      </c>
      <c r="J86" s="51">
        <v>2.6245076132897323</v>
      </c>
      <c r="K86" s="10">
        <f t="shared" si="3"/>
        <v>-2.4287792768817547E-2</v>
      </c>
    </row>
    <row r="87" spans="1:11" x14ac:dyDescent="0.4">
      <c r="A87" s="55">
        <v>38807</v>
      </c>
      <c r="B87" s="14">
        <v>41.93</v>
      </c>
      <c r="C87" s="14">
        <v>42.3</v>
      </c>
      <c r="D87" s="14">
        <v>40.19</v>
      </c>
      <c r="E87" s="14">
        <v>41.22</v>
      </c>
      <c r="F87" s="10">
        <f t="shared" si="2"/>
        <v>2.0194647201946431E-2</v>
      </c>
      <c r="G87" s="51">
        <v>2.672395526995182</v>
      </c>
      <c r="H87" s="51">
        <v>2.7853612185573575</v>
      </c>
      <c r="I87" s="51">
        <v>2.5727327394896342</v>
      </c>
      <c r="J87" s="51">
        <v>2.6145021016392929</v>
      </c>
      <c r="K87" s="10">
        <f t="shared" si="3"/>
        <v>4.5125705322904656E-2</v>
      </c>
    </row>
    <row r="88" spans="1:11" x14ac:dyDescent="0.4">
      <c r="A88" s="55">
        <v>38837</v>
      </c>
      <c r="B88" s="14">
        <v>41.85</v>
      </c>
      <c r="C88" s="14">
        <v>43.05</v>
      </c>
      <c r="D88" s="14">
        <v>41.39</v>
      </c>
      <c r="E88" s="14">
        <v>42.15</v>
      </c>
      <c r="F88" s="10">
        <f t="shared" si="2"/>
        <v>-1.9079418077748223E-3</v>
      </c>
      <c r="G88" s="51">
        <v>2.6433096627112258</v>
      </c>
      <c r="H88" s="51">
        <v>2.6866133583170839</v>
      </c>
      <c r="I88" s="51">
        <v>2.1948883704672193</v>
      </c>
      <c r="J88" s="51">
        <v>2.2496200508676973</v>
      </c>
      <c r="K88" s="10">
        <f t="shared" si="3"/>
        <v>-1.0883817155860943E-2</v>
      </c>
    </row>
    <row r="89" spans="1:11" x14ac:dyDescent="0.4">
      <c r="A89" s="55">
        <v>38868</v>
      </c>
      <c r="B89" s="14">
        <v>38.82</v>
      </c>
      <c r="C89" s="14">
        <v>42.3</v>
      </c>
      <c r="D89" s="14">
        <v>38.229999999999997</v>
      </c>
      <c r="E89" s="14">
        <v>41.93</v>
      </c>
      <c r="F89" s="10">
        <f t="shared" si="2"/>
        <v>-7.2401433691756292E-2</v>
      </c>
      <c r="G89" s="51">
        <v>2.2796823902466055</v>
      </c>
      <c r="H89" s="51">
        <v>2.4046685075608152</v>
      </c>
      <c r="I89" s="51">
        <v>2.0737445230403222</v>
      </c>
      <c r="J89" s="51">
        <v>2.2438287801304719</v>
      </c>
      <c r="K89" s="10">
        <f t="shared" si="3"/>
        <v>-0.13756514327256314</v>
      </c>
    </row>
    <row r="90" spans="1:11" x14ac:dyDescent="0.4">
      <c r="A90" s="55">
        <v>38898</v>
      </c>
      <c r="B90" s="14">
        <v>38.770000000000003</v>
      </c>
      <c r="C90" s="14">
        <v>40</v>
      </c>
      <c r="D90" s="14">
        <v>37.159999999999997</v>
      </c>
      <c r="E90" s="14">
        <v>38.909999999999997</v>
      </c>
      <c r="F90" s="10">
        <f t="shared" si="2"/>
        <v>-1.2879958784131158E-3</v>
      </c>
      <c r="G90" s="14">
        <v>2.2749999999999999</v>
      </c>
      <c r="H90" s="14">
        <v>2.2859379999999998</v>
      </c>
      <c r="I90" s="14">
        <v>1.8968750000000001</v>
      </c>
      <c r="J90" s="14">
        <v>2.0546880000000001</v>
      </c>
      <c r="K90" s="10">
        <f t="shared" si="3"/>
        <v>-2.0539660553762626E-3</v>
      </c>
    </row>
    <row r="91" spans="1:11" x14ac:dyDescent="0.4">
      <c r="A91" s="55">
        <v>38929</v>
      </c>
      <c r="B91" s="14">
        <v>37.1</v>
      </c>
      <c r="C91" s="14">
        <v>38.68</v>
      </c>
      <c r="D91" s="14">
        <v>35.54</v>
      </c>
      <c r="E91" s="14">
        <v>38.64</v>
      </c>
      <c r="F91" s="10">
        <f t="shared" si="2"/>
        <v>-4.3074542171782346E-2</v>
      </c>
      <c r="G91" s="14">
        <v>2.017188</v>
      </c>
      <c r="H91" s="14">
        <v>2.2593749999999999</v>
      </c>
      <c r="I91" s="14">
        <v>1.9624999999999999</v>
      </c>
      <c r="J91" s="14">
        <v>2.2406250000000001</v>
      </c>
      <c r="K91" s="10">
        <f t="shared" si="3"/>
        <v>-0.11332395604395602</v>
      </c>
    </row>
    <row r="92" spans="1:11" x14ac:dyDescent="0.4">
      <c r="A92" s="55">
        <v>38960</v>
      </c>
      <c r="B92" s="14">
        <v>38.869999999999997</v>
      </c>
      <c r="C92" s="14">
        <v>39.03</v>
      </c>
      <c r="D92" s="14">
        <v>36.26</v>
      </c>
      <c r="E92" s="14">
        <v>36.79</v>
      </c>
      <c r="F92" s="10">
        <f t="shared" si="2"/>
        <v>4.7708894878706089E-2</v>
      </c>
      <c r="G92" s="14">
        <v>2.2718750000000001</v>
      </c>
      <c r="H92" s="14">
        <v>2.5509379999999999</v>
      </c>
      <c r="I92" s="14">
        <v>2.1687500000000002</v>
      </c>
      <c r="J92" s="14">
        <v>2.4343750000000002</v>
      </c>
      <c r="K92" s="10">
        <f t="shared" si="3"/>
        <v>0.12625843500952816</v>
      </c>
    </row>
    <row r="93" spans="1:11" x14ac:dyDescent="0.4">
      <c r="A93" s="55">
        <v>38990</v>
      </c>
      <c r="B93" s="14">
        <v>40.65</v>
      </c>
      <c r="C93" s="14">
        <v>40.950000000000003</v>
      </c>
      <c r="D93" s="14">
        <v>38.32</v>
      </c>
      <c r="E93" s="14">
        <v>39.07</v>
      </c>
      <c r="F93" s="10">
        <f t="shared" si="2"/>
        <v>4.5793671211731446E-2</v>
      </c>
      <c r="G93" s="14">
        <v>2.423438</v>
      </c>
      <c r="H93" s="14">
        <v>2.6971880000000001</v>
      </c>
      <c r="I93" s="14">
        <v>2.3387500000000001</v>
      </c>
      <c r="J93" s="14">
        <v>2.6531250000000002</v>
      </c>
      <c r="K93" s="10">
        <f t="shared" si="3"/>
        <v>6.6712737276478626E-2</v>
      </c>
    </row>
    <row r="94" spans="1:11" x14ac:dyDescent="0.4">
      <c r="A94" s="55">
        <v>39021</v>
      </c>
      <c r="B94" s="14">
        <v>42.58</v>
      </c>
      <c r="C94" s="14">
        <v>42.92</v>
      </c>
      <c r="D94" s="14">
        <v>39.880000000000003</v>
      </c>
      <c r="E94" s="14">
        <v>40.6</v>
      </c>
      <c r="F94" s="10">
        <f t="shared" si="2"/>
        <v>4.7478474784747843E-2</v>
      </c>
      <c r="G94" s="14">
        <v>2.671875</v>
      </c>
      <c r="H94" s="14">
        <v>2.9296880000000001</v>
      </c>
      <c r="I94" s="14">
        <v>2.5299999999999998</v>
      </c>
      <c r="J94" s="14">
        <v>2.8131249999999999</v>
      </c>
      <c r="K94" s="10">
        <f t="shared" si="3"/>
        <v>0.10251427930072897</v>
      </c>
    </row>
    <row r="95" spans="1:11" x14ac:dyDescent="0.4">
      <c r="A95" s="55">
        <v>39051</v>
      </c>
      <c r="B95" s="14">
        <v>44.04</v>
      </c>
      <c r="C95" s="14">
        <v>44.75</v>
      </c>
      <c r="D95" s="14">
        <v>41.61</v>
      </c>
      <c r="E95" s="14">
        <v>42.73</v>
      </c>
      <c r="F95" s="10">
        <f t="shared" si="2"/>
        <v>3.4288398309065313E-2</v>
      </c>
      <c r="G95" s="14">
        <v>2.8196880000000002</v>
      </c>
      <c r="H95" s="14">
        <v>2.9081250000000001</v>
      </c>
      <c r="I95" s="14">
        <v>2.5031249999999998</v>
      </c>
      <c r="J95" s="14">
        <v>2.5325000000000002</v>
      </c>
      <c r="K95" s="10">
        <f t="shared" si="3"/>
        <v>5.5321824561403582E-2</v>
      </c>
    </row>
    <row r="96" spans="1:11" x14ac:dyDescent="0.4">
      <c r="A96" s="55">
        <v>39082</v>
      </c>
      <c r="B96" s="14">
        <v>43.16</v>
      </c>
      <c r="C96" s="14">
        <v>44.76</v>
      </c>
      <c r="D96" s="14">
        <v>42.88</v>
      </c>
      <c r="E96" s="14">
        <v>44</v>
      </c>
      <c r="F96" s="10">
        <f t="shared" si="2"/>
        <v>-1.9981834695731213E-2</v>
      </c>
      <c r="G96" s="14">
        <v>2.5862500000000002</v>
      </c>
      <c r="H96" s="14">
        <v>2.7943750000000001</v>
      </c>
      <c r="I96" s="14">
        <v>2.4624999999999999</v>
      </c>
      <c r="J96" s="14">
        <v>2.6078130000000002</v>
      </c>
      <c r="K96" s="10">
        <f t="shared" si="3"/>
        <v>-8.2788592213039178E-2</v>
      </c>
    </row>
    <row r="97" spans="1:11" x14ac:dyDescent="0.4">
      <c r="A97" s="55">
        <v>39113</v>
      </c>
      <c r="B97" s="14">
        <v>44.07</v>
      </c>
      <c r="C97" s="14">
        <v>45.4</v>
      </c>
      <c r="D97" s="14">
        <v>42.52</v>
      </c>
      <c r="E97" s="14">
        <v>43.46</v>
      </c>
      <c r="F97" s="10">
        <f t="shared" si="2"/>
        <v>2.1084337349397679E-2</v>
      </c>
      <c r="G97" s="14">
        <v>2.639688</v>
      </c>
      <c r="H97" s="14">
        <v>2.7853129999999999</v>
      </c>
      <c r="I97" s="14">
        <v>2.453125</v>
      </c>
      <c r="J97" s="14">
        <v>2.5153129999999999</v>
      </c>
      <c r="K97" s="10">
        <f t="shared" si="3"/>
        <v>2.0662348960850601E-2</v>
      </c>
    </row>
    <row r="98" spans="1:11" x14ac:dyDescent="0.4">
      <c r="A98" s="55">
        <v>39141</v>
      </c>
      <c r="B98" s="14">
        <v>43.33</v>
      </c>
      <c r="C98" s="14">
        <v>45.55</v>
      </c>
      <c r="D98" s="14">
        <v>42.93</v>
      </c>
      <c r="E98" s="14">
        <v>44.28</v>
      </c>
      <c r="F98" s="10">
        <f t="shared" si="2"/>
        <v>-1.6791468118901792E-2</v>
      </c>
      <c r="G98" s="14">
        <v>2.439063</v>
      </c>
      <c r="H98" s="14">
        <v>2.6324999999999998</v>
      </c>
      <c r="I98" s="14">
        <v>2.3634379999999999</v>
      </c>
      <c r="J98" s="14">
        <v>2.5306250000000001</v>
      </c>
      <c r="K98" s="10">
        <f t="shared" si="3"/>
        <v>-7.6003300390046116E-2</v>
      </c>
    </row>
    <row r="99" spans="1:11" x14ac:dyDescent="0.4">
      <c r="A99" s="55">
        <v>39172</v>
      </c>
      <c r="B99" s="14">
        <v>43.53</v>
      </c>
      <c r="C99" s="14">
        <v>44.45</v>
      </c>
      <c r="D99" s="14">
        <v>41.97</v>
      </c>
      <c r="E99" s="14">
        <v>43.02</v>
      </c>
      <c r="F99" s="10">
        <f t="shared" si="2"/>
        <v>4.6157396722825489E-3</v>
      </c>
      <c r="G99" s="14">
        <v>2.5390630000000001</v>
      </c>
      <c r="H99" s="14">
        <v>2.8781249999999998</v>
      </c>
      <c r="I99" s="14">
        <v>2.4950000000000001</v>
      </c>
      <c r="J99" s="14">
        <v>2.7953130000000002</v>
      </c>
      <c r="K99" s="10">
        <f t="shared" si="3"/>
        <v>4.0999350980274019E-2</v>
      </c>
    </row>
    <row r="100" spans="1:11" x14ac:dyDescent="0.4">
      <c r="A100" s="55">
        <v>39202</v>
      </c>
      <c r="B100" s="14">
        <v>45.96</v>
      </c>
      <c r="C100" s="14">
        <v>46.7</v>
      </c>
      <c r="D100" s="14">
        <v>43.3</v>
      </c>
      <c r="E100" s="14">
        <v>43.71</v>
      </c>
      <c r="F100" s="10">
        <f t="shared" si="2"/>
        <v>5.5823569951757399E-2</v>
      </c>
      <c r="G100" s="14">
        <v>2.796875</v>
      </c>
      <c r="H100" s="14">
        <v>2.9631249999999998</v>
      </c>
      <c r="I100" s="14">
        <v>2.7556250000000002</v>
      </c>
      <c r="J100" s="14">
        <v>2.9596879999999999</v>
      </c>
      <c r="K100" s="10">
        <f t="shared" si="3"/>
        <v>0.10153824462016103</v>
      </c>
    </row>
    <row r="101" spans="1:11" x14ac:dyDescent="0.4">
      <c r="A101" s="55">
        <v>39233</v>
      </c>
      <c r="B101" s="14">
        <v>47.41</v>
      </c>
      <c r="C101" s="14">
        <v>47.52</v>
      </c>
      <c r="D101" s="14">
        <v>45.66</v>
      </c>
      <c r="E101" s="14">
        <v>46.03</v>
      </c>
      <c r="F101" s="10">
        <f t="shared" si="2"/>
        <v>3.1549173194081716E-2</v>
      </c>
      <c r="G101" s="14">
        <v>2.9709379999999999</v>
      </c>
      <c r="H101" s="14">
        <v>3.0065629999999999</v>
      </c>
      <c r="I101" s="14">
        <v>2.7921879999999999</v>
      </c>
      <c r="J101" s="14">
        <v>2.9728129999999999</v>
      </c>
      <c r="K101" s="10">
        <f t="shared" si="3"/>
        <v>6.2234815642458051E-2</v>
      </c>
    </row>
    <row r="102" spans="1:11" x14ac:dyDescent="0.4">
      <c r="A102" s="55">
        <v>39263</v>
      </c>
      <c r="B102" s="14">
        <v>47.6</v>
      </c>
      <c r="C102" s="14">
        <v>47.92</v>
      </c>
      <c r="D102" s="14">
        <v>46.15</v>
      </c>
      <c r="E102" s="14">
        <v>47.54</v>
      </c>
      <c r="F102" s="10">
        <f t="shared" si="2"/>
        <v>4.0075933347396087E-3</v>
      </c>
      <c r="G102" s="14">
        <v>2.9734379999999998</v>
      </c>
      <c r="H102" s="14">
        <v>3.339375</v>
      </c>
      <c r="I102" s="14">
        <v>2.9224999999999999</v>
      </c>
      <c r="J102" s="14">
        <v>2.9375</v>
      </c>
      <c r="K102" s="10">
        <f t="shared" si="3"/>
        <v>8.4148507979632926E-4</v>
      </c>
    </row>
    <row r="103" spans="1:11" x14ac:dyDescent="0.4">
      <c r="A103" s="55">
        <v>39294</v>
      </c>
      <c r="B103" s="14">
        <v>47.53</v>
      </c>
      <c r="C103" s="14">
        <v>50.66</v>
      </c>
      <c r="D103" s="14">
        <v>47.43</v>
      </c>
      <c r="E103" s="14">
        <v>47.59</v>
      </c>
      <c r="F103" s="10">
        <f t="shared" si="2"/>
        <v>-1.4705882352941235E-3</v>
      </c>
      <c r="G103" s="14">
        <v>2.916563</v>
      </c>
      <c r="H103" s="14">
        <v>3.1124999999999998</v>
      </c>
      <c r="I103" s="14">
        <v>2.5431249999999999</v>
      </c>
      <c r="J103" s="14">
        <v>3.0603129999999998</v>
      </c>
      <c r="K103" s="10">
        <f t="shared" si="3"/>
        <v>-1.9127689899705255E-2</v>
      </c>
    </row>
    <row r="104" spans="1:11" x14ac:dyDescent="0.4">
      <c r="A104" s="55">
        <v>39325</v>
      </c>
      <c r="B104" s="14">
        <v>48.87</v>
      </c>
      <c r="C104" s="14">
        <v>49.06</v>
      </c>
      <c r="D104" s="14">
        <v>40.549999999999997</v>
      </c>
      <c r="E104" s="14">
        <v>47.29</v>
      </c>
      <c r="F104" s="10">
        <f t="shared" si="2"/>
        <v>2.8192720387123844E-2</v>
      </c>
      <c r="G104" s="14">
        <v>3.0775000000000001</v>
      </c>
      <c r="H104" s="14">
        <v>3.4068749999999999</v>
      </c>
      <c r="I104" s="14">
        <v>2.9271880000000001</v>
      </c>
      <c r="J104" s="14">
        <v>3.3781249999999998</v>
      </c>
      <c r="K104" s="10">
        <f t="shared" si="3"/>
        <v>5.5180361267697667E-2</v>
      </c>
    </row>
    <row r="105" spans="1:11" x14ac:dyDescent="0.4">
      <c r="A105" s="55">
        <v>39355</v>
      </c>
      <c r="B105" s="14">
        <v>51.41</v>
      </c>
      <c r="C105" s="14">
        <v>52.77</v>
      </c>
      <c r="D105" s="14">
        <v>47.95</v>
      </c>
      <c r="E105" s="14">
        <v>48.84</v>
      </c>
      <c r="F105" s="10">
        <f t="shared" si="2"/>
        <v>5.1974626560261902E-2</v>
      </c>
      <c r="G105" s="14">
        <v>3.3834379999999999</v>
      </c>
      <c r="H105" s="14">
        <v>3.8359380000000001</v>
      </c>
      <c r="I105" s="14">
        <v>3.36</v>
      </c>
      <c r="J105" s="14">
        <v>3.827188</v>
      </c>
      <c r="K105" s="10">
        <f t="shared" si="3"/>
        <v>9.9411210398050301E-2</v>
      </c>
    </row>
    <row r="106" spans="1:11" x14ac:dyDescent="0.4">
      <c r="A106" s="55">
        <v>39386</v>
      </c>
      <c r="B106" s="14">
        <v>55.03</v>
      </c>
      <c r="C106" s="14">
        <v>55.07</v>
      </c>
      <c r="D106" s="14">
        <v>51.34</v>
      </c>
      <c r="E106" s="14">
        <v>51.43</v>
      </c>
      <c r="F106" s="10">
        <f t="shared" si="2"/>
        <v>7.0414316280879297E-2</v>
      </c>
      <c r="G106" s="14">
        <v>3.78125</v>
      </c>
      <c r="H106" s="14">
        <v>3.8031250000000001</v>
      </c>
      <c r="I106" s="14">
        <v>2.9750000000000001</v>
      </c>
      <c r="J106" s="14">
        <v>3.2956249999999998</v>
      </c>
      <c r="K106" s="10">
        <f t="shared" si="3"/>
        <v>0.11757626414315854</v>
      </c>
    </row>
    <row r="107" spans="1:11" x14ac:dyDescent="0.4">
      <c r="A107" s="55">
        <v>39416</v>
      </c>
      <c r="B107" s="14">
        <v>51.31</v>
      </c>
      <c r="C107" s="14">
        <v>54.99</v>
      </c>
      <c r="D107" s="14">
        <v>48.65</v>
      </c>
      <c r="E107" s="14">
        <v>54.99</v>
      </c>
      <c r="F107" s="10">
        <f t="shared" si="2"/>
        <v>-6.7599491186625449E-2</v>
      </c>
      <c r="G107" s="14">
        <v>3.2581250000000002</v>
      </c>
      <c r="H107" s="14">
        <v>3.481563</v>
      </c>
      <c r="I107" s="14">
        <v>2.9718749999999998</v>
      </c>
      <c r="J107" s="14">
        <v>3.100625</v>
      </c>
      <c r="K107" s="10">
        <f t="shared" si="3"/>
        <v>-0.13834710743801648</v>
      </c>
    </row>
    <row r="108" spans="1:11" x14ac:dyDescent="0.4">
      <c r="A108" s="55">
        <v>39447</v>
      </c>
      <c r="B108" s="14">
        <v>51.22</v>
      </c>
      <c r="C108" s="14">
        <v>52.84</v>
      </c>
      <c r="D108" s="14">
        <v>49.61</v>
      </c>
      <c r="E108" s="14">
        <v>51.09</v>
      </c>
      <c r="F108" s="10">
        <f t="shared" si="2"/>
        <v>-1.7540440459949992E-3</v>
      </c>
      <c r="G108" s="14">
        <v>3.1062500000000002</v>
      </c>
      <c r="H108" s="14">
        <v>3.125</v>
      </c>
      <c r="I108" s="14">
        <v>2.0165630000000001</v>
      </c>
      <c r="J108" s="14">
        <v>2.345313</v>
      </c>
      <c r="K108" s="10">
        <f t="shared" si="3"/>
        <v>-4.6614233646652591E-2</v>
      </c>
    </row>
    <row r="109" spans="1:11" x14ac:dyDescent="0.4">
      <c r="A109" s="55">
        <v>39478</v>
      </c>
      <c r="B109" s="14">
        <v>45.13</v>
      </c>
      <c r="C109" s="14">
        <v>51.47</v>
      </c>
      <c r="D109" s="14">
        <v>41.61</v>
      </c>
      <c r="E109" s="14">
        <v>51.27</v>
      </c>
      <c r="F109" s="10">
        <f t="shared" si="2"/>
        <v>-0.11889886762983203</v>
      </c>
      <c r="G109" s="14">
        <v>2.4065629999999998</v>
      </c>
      <c r="H109" s="14">
        <v>2.4496880000000001</v>
      </c>
      <c r="I109" s="14">
        <v>2.0665629999999999</v>
      </c>
      <c r="J109" s="14">
        <v>2.1481249999999998</v>
      </c>
      <c r="K109" s="10">
        <f t="shared" si="3"/>
        <v>-0.22525134808853131</v>
      </c>
    </row>
    <row r="110" spans="1:11" x14ac:dyDescent="0.4">
      <c r="A110" s="55">
        <v>39507</v>
      </c>
      <c r="B110" s="14">
        <v>42.95</v>
      </c>
      <c r="C110" s="14">
        <v>45.88</v>
      </c>
      <c r="D110" s="14">
        <v>42.15</v>
      </c>
      <c r="E110" s="14">
        <v>45.5</v>
      </c>
      <c r="F110" s="10">
        <f t="shared" si="2"/>
        <v>-4.8304896964325272E-2</v>
      </c>
      <c r="G110" s="14">
        <v>2.1303130000000001</v>
      </c>
      <c r="H110" s="14">
        <v>2.3265630000000002</v>
      </c>
      <c r="I110" s="14">
        <v>1.937813</v>
      </c>
      <c r="J110" s="14">
        <v>2.1859380000000002</v>
      </c>
      <c r="K110" s="10">
        <f t="shared" si="3"/>
        <v>-0.11479026312629242</v>
      </c>
    </row>
    <row r="111" spans="1:11" x14ac:dyDescent="0.4">
      <c r="A111" s="55">
        <v>39538</v>
      </c>
      <c r="B111" s="14">
        <v>43.72</v>
      </c>
      <c r="C111" s="14">
        <v>45.07</v>
      </c>
      <c r="D111" s="14">
        <v>41.05</v>
      </c>
      <c r="E111" s="14">
        <v>42.92</v>
      </c>
      <c r="F111" s="10">
        <f t="shared" si="2"/>
        <v>1.7927823050058113E-2</v>
      </c>
      <c r="G111" s="14">
        <v>2.2640630000000002</v>
      </c>
      <c r="H111" s="14">
        <v>2.6231249999999999</v>
      </c>
      <c r="I111" s="14">
        <v>2.1759379999999999</v>
      </c>
      <c r="J111" s="14">
        <v>2.5265629999999999</v>
      </c>
      <c r="K111" s="10">
        <f t="shared" si="3"/>
        <v>6.27842011948479E-2</v>
      </c>
    </row>
    <row r="112" spans="1:11" x14ac:dyDescent="0.4">
      <c r="A112" s="55">
        <v>39568</v>
      </c>
      <c r="B112" s="14">
        <v>47.21</v>
      </c>
      <c r="C112" s="14">
        <v>48.06</v>
      </c>
      <c r="D112" s="14">
        <v>43.68</v>
      </c>
      <c r="E112" s="14">
        <v>44.42</v>
      </c>
      <c r="F112" s="10">
        <f t="shared" si="2"/>
        <v>7.9826166514181202E-2</v>
      </c>
      <c r="G112" s="14">
        <v>2.5293749999999999</v>
      </c>
      <c r="H112" s="14">
        <v>2.880938</v>
      </c>
      <c r="I112" s="14">
        <v>2.5293749999999999</v>
      </c>
      <c r="J112" s="14">
        <v>2.828125</v>
      </c>
      <c r="K112" s="10">
        <f t="shared" si="3"/>
        <v>0.1171840182892436</v>
      </c>
    </row>
    <row r="113" spans="1:11" x14ac:dyDescent="0.4">
      <c r="A113" s="55">
        <v>39599</v>
      </c>
      <c r="B113" s="14">
        <v>50.01</v>
      </c>
      <c r="C113" s="14">
        <v>50.47</v>
      </c>
      <c r="D113" s="14">
        <v>47.22</v>
      </c>
      <c r="E113" s="14">
        <v>47.23</v>
      </c>
      <c r="F113" s="10">
        <f t="shared" si="2"/>
        <v>5.9309468332980238E-2</v>
      </c>
      <c r="G113" s="14">
        <v>2.811563</v>
      </c>
      <c r="H113" s="14">
        <v>2.892188</v>
      </c>
      <c r="I113" s="14">
        <v>2.265625</v>
      </c>
      <c r="J113" s="14">
        <v>2.2921879999999999</v>
      </c>
      <c r="K113" s="10">
        <f t="shared" si="3"/>
        <v>0.11156431924882633</v>
      </c>
    </row>
    <row r="114" spans="1:11" x14ac:dyDescent="0.4">
      <c r="A114" s="55">
        <v>39629</v>
      </c>
      <c r="B114" s="14">
        <v>45.17</v>
      </c>
      <c r="C114" s="14">
        <v>50.61</v>
      </c>
      <c r="D114" s="14">
        <v>44.97</v>
      </c>
      <c r="E114" s="14">
        <v>49.92</v>
      </c>
      <c r="F114" s="10">
        <f t="shared" si="2"/>
        <v>-9.6780643871225688E-2</v>
      </c>
      <c r="G114" s="14">
        <v>2.2509380000000001</v>
      </c>
      <c r="H114" s="14">
        <v>2.38375</v>
      </c>
      <c r="I114" s="14">
        <v>2.0918749999999999</v>
      </c>
      <c r="J114" s="14">
        <v>2.3021880000000001</v>
      </c>
      <c r="K114" s="10">
        <f t="shared" si="3"/>
        <v>-0.19939976447264385</v>
      </c>
    </row>
    <row r="115" spans="1:11" x14ac:dyDescent="0.4">
      <c r="A115" s="55">
        <v>39660</v>
      </c>
      <c r="B115" s="14">
        <v>45.46</v>
      </c>
      <c r="C115" s="14">
        <v>46.15</v>
      </c>
      <c r="D115" s="14">
        <v>43.3</v>
      </c>
      <c r="E115" s="14">
        <v>44.81</v>
      </c>
      <c r="F115" s="10">
        <f t="shared" si="2"/>
        <v>6.4201903918529807E-3</v>
      </c>
      <c r="G115" s="14">
        <v>2.3031250000000001</v>
      </c>
      <c r="H115" s="14">
        <v>2.610938</v>
      </c>
      <c r="I115" s="14">
        <v>2.1803129999999999</v>
      </c>
      <c r="J115" s="14">
        <v>2.3462499999999999</v>
      </c>
      <c r="K115" s="10">
        <f t="shared" si="3"/>
        <v>2.3184556838082605E-2</v>
      </c>
    </row>
    <row r="116" spans="1:11" x14ac:dyDescent="0.4">
      <c r="A116" s="55">
        <v>39691</v>
      </c>
      <c r="B116" s="14">
        <v>46.12</v>
      </c>
      <c r="C116" s="14">
        <v>48.57</v>
      </c>
      <c r="D116" s="14">
        <v>44.3</v>
      </c>
      <c r="E116" s="14">
        <v>45.51</v>
      </c>
      <c r="F116" s="10">
        <f t="shared" si="2"/>
        <v>1.4518257809062837E-2</v>
      </c>
      <c r="G116" s="14">
        <v>2.4240629999999999</v>
      </c>
      <c r="H116" s="14">
        <v>2.4440629999999999</v>
      </c>
      <c r="I116" s="14">
        <v>1.4624999999999999</v>
      </c>
      <c r="J116" s="14">
        <v>1.6368750000000001</v>
      </c>
      <c r="K116" s="10">
        <f t="shared" si="3"/>
        <v>5.2510393487109799E-2</v>
      </c>
    </row>
    <row r="117" spans="1:11" x14ac:dyDescent="0.4">
      <c r="A117" s="55">
        <v>39721</v>
      </c>
      <c r="B117" s="14">
        <v>38.909999999999997</v>
      </c>
      <c r="C117" s="14">
        <v>47.08</v>
      </c>
      <c r="D117" s="14">
        <v>37.18</v>
      </c>
      <c r="E117" s="14">
        <v>46.87</v>
      </c>
      <c r="F117" s="10">
        <f t="shared" si="2"/>
        <v>-0.15633130962705988</v>
      </c>
      <c r="G117" s="14">
        <v>1.6125</v>
      </c>
      <c r="H117" s="14">
        <v>1.6271880000000001</v>
      </c>
      <c r="I117" s="14">
        <v>0.79812499999999997</v>
      </c>
      <c r="J117" s="14">
        <v>1.086875</v>
      </c>
      <c r="K117" s="10">
        <f t="shared" si="3"/>
        <v>-0.33479451647915087</v>
      </c>
    </row>
    <row r="118" spans="1:11" x14ac:dyDescent="0.4">
      <c r="A118" s="55">
        <v>39752</v>
      </c>
      <c r="B118" s="14">
        <v>32.89</v>
      </c>
      <c r="C118" s="14">
        <v>38.97</v>
      </c>
      <c r="D118" s="14">
        <v>28.09</v>
      </c>
      <c r="E118" s="14">
        <v>38.840000000000003</v>
      </c>
      <c r="F118" s="10">
        <f t="shared" si="2"/>
        <v>-0.15471601130814691</v>
      </c>
      <c r="G118" s="14">
        <v>1.0856250000000001</v>
      </c>
      <c r="H118" s="14">
        <v>1.165313</v>
      </c>
      <c r="I118" s="14">
        <v>0.61624999999999996</v>
      </c>
      <c r="J118" s="14">
        <v>0.82625000000000004</v>
      </c>
      <c r="K118" s="10">
        <f t="shared" si="3"/>
        <v>-0.32674418604651162</v>
      </c>
    </row>
    <row r="119" spans="1:11" x14ac:dyDescent="0.4">
      <c r="A119" s="55">
        <v>39782</v>
      </c>
      <c r="B119" s="14">
        <v>29.35</v>
      </c>
      <c r="C119" s="14">
        <v>34.01</v>
      </c>
      <c r="D119" s="14">
        <v>25.05</v>
      </c>
      <c r="E119" s="14">
        <v>32.840000000000003</v>
      </c>
      <c r="F119" s="10">
        <f t="shared" si="2"/>
        <v>-0.10763149893584674</v>
      </c>
      <c r="G119" s="14">
        <v>0.79156300000000002</v>
      </c>
      <c r="H119" s="14">
        <v>0.91156300000000001</v>
      </c>
      <c r="I119" s="14">
        <v>0.69718800000000003</v>
      </c>
      <c r="J119" s="14">
        <v>0.84031299999999998</v>
      </c>
      <c r="K119" s="10">
        <f t="shared" si="3"/>
        <v>-0.27086885434657459</v>
      </c>
    </row>
    <row r="120" spans="1:11" x14ac:dyDescent="0.4">
      <c r="A120" s="55">
        <v>39813</v>
      </c>
      <c r="B120" s="14">
        <v>29.74</v>
      </c>
      <c r="C120" s="14">
        <v>30.83</v>
      </c>
      <c r="D120" s="14">
        <v>26.84</v>
      </c>
      <c r="E120" s="14">
        <v>28.5</v>
      </c>
      <c r="F120" s="10">
        <f t="shared" si="2"/>
        <v>1.3287904599659181E-2</v>
      </c>
      <c r="G120" s="14">
        <v>0.84624999999999995</v>
      </c>
      <c r="H120" s="14">
        <v>0.95156300000000005</v>
      </c>
      <c r="I120" s="14">
        <v>0.73875000000000002</v>
      </c>
      <c r="J120" s="14">
        <v>0.79156300000000002</v>
      </c>
      <c r="K120" s="10">
        <f t="shared" si="3"/>
        <v>6.9087362597796922E-2</v>
      </c>
    </row>
    <row r="121" spans="1:11" x14ac:dyDescent="0.4">
      <c r="A121" s="55">
        <v>39844</v>
      </c>
      <c r="B121" s="14">
        <v>29.06</v>
      </c>
      <c r="C121" s="14">
        <v>31.63</v>
      </c>
      <c r="D121" s="14">
        <v>27.96</v>
      </c>
      <c r="E121" s="14">
        <v>29.75</v>
      </c>
      <c r="F121" s="10">
        <f t="shared" si="2"/>
        <v>-2.2864828513786139E-2</v>
      </c>
      <c r="G121" s="14">
        <v>0.77687499999999998</v>
      </c>
      <c r="H121" s="14">
        <v>0.94093800000000005</v>
      </c>
      <c r="I121" s="14">
        <v>0.69750000000000001</v>
      </c>
      <c r="J121" s="14">
        <v>0.70374999999999999</v>
      </c>
      <c r="K121" s="10">
        <f t="shared" si="3"/>
        <v>-8.1979320531757716E-2</v>
      </c>
    </row>
    <row r="122" spans="1:11" x14ac:dyDescent="0.4">
      <c r="A122" s="55">
        <v>39872</v>
      </c>
      <c r="B122" s="14">
        <v>27.53</v>
      </c>
      <c r="C122" s="14">
        <v>31.68</v>
      </c>
      <c r="D122" s="14">
        <v>27.39</v>
      </c>
      <c r="E122" s="14">
        <v>28.78</v>
      </c>
      <c r="F122" s="10">
        <f t="shared" si="2"/>
        <v>-5.2649690295939355E-2</v>
      </c>
      <c r="G122" s="14">
        <v>0.68343799999999999</v>
      </c>
      <c r="H122" s="14">
        <v>0.90625</v>
      </c>
      <c r="I122" s="14">
        <v>0.60812500000000003</v>
      </c>
      <c r="J122" s="14">
        <v>0.84406300000000001</v>
      </c>
      <c r="K122" s="10">
        <f t="shared" si="3"/>
        <v>-0.12027288817377313</v>
      </c>
    </row>
    <row r="123" spans="1:11" x14ac:dyDescent="0.4">
      <c r="A123" s="55">
        <v>39903</v>
      </c>
      <c r="B123" s="14">
        <v>30.32</v>
      </c>
      <c r="C123" s="14">
        <v>31.46</v>
      </c>
      <c r="D123" s="14">
        <v>25.63</v>
      </c>
      <c r="E123" s="14">
        <v>27.12</v>
      </c>
      <c r="F123" s="10">
        <f t="shared" si="2"/>
        <v>0.10134398837631671</v>
      </c>
      <c r="G123" s="14">
        <v>0.82031299999999996</v>
      </c>
      <c r="H123" s="14">
        <v>1.105313</v>
      </c>
      <c r="I123" s="14">
        <v>0.8125</v>
      </c>
      <c r="J123" s="14">
        <v>1.0662499999999999</v>
      </c>
      <c r="K123" s="10">
        <f t="shared" si="3"/>
        <v>0.2002742019027329</v>
      </c>
    </row>
    <row r="124" spans="1:11" x14ac:dyDescent="0.4">
      <c r="A124" s="55">
        <v>39933</v>
      </c>
      <c r="B124" s="14">
        <v>34.28</v>
      </c>
      <c r="C124" s="14">
        <v>34.9</v>
      </c>
      <c r="D124" s="14">
        <v>29.79</v>
      </c>
      <c r="E124" s="14">
        <v>29.94</v>
      </c>
      <c r="F124" s="10">
        <f t="shared" si="2"/>
        <v>0.13060686015831138</v>
      </c>
      <c r="G124" s="14">
        <v>1.0674999999999999</v>
      </c>
      <c r="H124" s="14">
        <v>1.1328130000000001</v>
      </c>
      <c r="I124" s="14">
        <v>0.98499999999999999</v>
      </c>
      <c r="J124" s="14">
        <v>1.128125</v>
      </c>
      <c r="K124" s="10">
        <f t="shared" si="3"/>
        <v>0.30133254014016597</v>
      </c>
    </row>
    <row r="125" spans="1:11" x14ac:dyDescent="0.4">
      <c r="A125" s="55">
        <v>39964</v>
      </c>
      <c r="B125" s="14">
        <v>35.380000000000003</v>
      </c>
      <c r="C125" s="14">
        <v>35.5</v>
      </c>
      <c r="D125" s="14">
        <v>32.96</v>
      </c>
      <c r="E125" s="14">
        <v>34.270000000000003</v>
      </c>
      <c r="F125" s="10">
        <f t="shared" si="2"/>
        <v>3.2088681446907859E-2</v>
      </c>
      <c r="G125" s="14">
        <v>1.1525000000000001</v>
      </c>
      <c r="H125" s="14">
        <v>1.2493749999999999</v>
      </c>
      <c r="I125" s="14">
        <v>1.0900000000000001</v>
      </c>
      <c r="J125" s="14">
        <v>1.190625</v>
      </c>
      <c r="K125" s="10">
        <f t="shared" si="3"/>
        <v>7.9625292740047024E-2</v>
      </c>
    </row>
    <row r="126" spans="1:11" x14ac:dyDescent="0.4">
      <c r="A126" s="55">
        <v>39994</v>
      </c>
      <c r="B126" s="14">
        <v>36.380000000000003</v>
      </c>
      <c r="C126" s="14">
        <v>37.229999999999997</v>
      </c>
      <c r="D126" s="14">
        <v>34.770000000000003</v>
      </c>
      <c r="E126" s="14">
        <v>35.76</v>
      </c>
      <c r="F126" s="10">
        <f t="shared" si="2"/>
        <v>2.826455624646693E-2</v>
      </c>
      <c r="G126" s="14">
        <v>1.201875</v>
      </c>
      <c r="H126" s="14">
        <v>1.4468749999999999</v>
      </c>
      <c r="I126" s="14">
        <v>1.0587500000000001</v>
      </c>
      <c r="J126" s="14">
        <v>1.3931249999999999</v>
      </c>
      <c r="K126" s="10">
        <f t="shared" si="3"/>
        <v>4.2841648590021646E-2</v>
      </c>
    </row>
    <row r="127" spans="1:11" x14ac:dyDescent="0.4">
      <c r="A127" s="55">
        <v>40025</v>
      </c>
      <c r="B127" s="14">
        <v>39.450000000000003</v>
      </c>
      <c r="C127" s="14">
        <v>40.18</v>
      </c>
      <c r="D127" s="14">
        <v>34.299999999999997</v>
      </c>
      <c r="E127" s="14">
        <v>36.56</v>
      </c>
      <c r="F127" s="10">
        <f t="shared" si="2"/>
        <v>8.4387025838372737E-2</v>
      </c>
      <c r="G127" s="14">
        <v>1.4259379999999999</v>
      </c>
      <c r="H127" s="14">
        <v>1.5075000000000001</v>
      </c>
      <c r="I127" s="14">
        <v>1.322813</v>
      </c>
      <c r="J127" s="14">
        <v>1.4303129999999999</v>
      </c>
      <c r="K127" s="10">
        <f t="shared" si="3"/>
        <v>0.18642787311492451</v>
      </c>
    </row>
    <row r="128" spans="1:11" x14ac:dyDescent="0.4">
      <c r="A128" s="55">
        <v>40056</v>
      </c>
      <c r="B128" s="14">
        <v>40.03</v>
      </c>
      <c r="C128" s="14">
        <v>41.08</v>
      </c>
      <c r="D128" s="14">
        <v>38.46</v>
      </c>
      <c r="E128" s="14">
        <v>39.85</v>
      </c>
      <c r="F128" s="10">
        <f t="shared" si="2"/>
        <v>1.4702154626108955E-2</v>
      </c>
      <c r="G128" s="14">
        <v>1.4203129999999999</v>
      </c>
      <c r="H128" s="14">
        <v>1.6646879999999999</v>
      </c>
      <c r="I128" s="14">
        <v>1.36</v>
      </c>
      <c r="J128" s="14">
        <v>1.592813</v>
      </c>
      <c r="K128" s="10">
        <f t="shared" si="3"/>
        <v>-3.9447717923219603E-3</v>
      </c>
    </row>
    <row r="129" spans="1:11" x14ac:dyDescent="0.4">
      <c r="A129" s="55">
        <v>40086</v>
      </c>
      <c r="B129" s="14">
        <v>42.25</v>
      </c>
      <c r="C129" s="14">
        <v>43.17</v>
      </c>
      <c r="D129" s="14">
        <v>39.020000000000003</v>
      </c>
      <c r="E129" s="14">
        <v>39.89</v>
      </c>
      <c r="F129" s="10">
        <f t="shared" si="2"/>
        <v>5.5458406195353457E-2</v>
      </c>
      <c r="G129" s="14">
        <v>1.5821879999999999</v>
      </c>
      <c r="H129" s="14">
        <v>1.70875</v>
      </c>
      <c r="I129" s="14">
        <v>1.4784379999999999</v>
      </c>
      <c r="J129" s="14">
        <v>1.4906250000000001</v>
      </c>
      <c r="K129" s="10">
        <f t="shared" si="3"/>
        <v>0.1139713570177841</v>
      </c>
    </row>
    <row r="130" spans="1:11" x14ac:dyDescent="0.4">
      <c r="A130" s="55">
        <v>40117</v>
      </c>
      <c r="B130" s="14">
        <v>40.96</v>
      </c>
      <c r="C130" s="14">
        <v>43.82</v>
      </c>
      <c r="D130" s="14">
        <v>40.72</v>
      </c>
      <c r="E130" s="14">
        <v>42.1</v>
      </c>
      <c r="F130" s="10">
        <f t="shared" si="2"/>
        <v>-3.0532544378698203E-2</v>
      </c>
      <c r="G130" s="14">
        <v>1.4940629999999999</v>
      </c>
      <c r="H130" s="14">
        <v>1.76875</v>
      </c>
      <c r="I130" s="14">
        <v>1.467813</v>
      </c>
      <c r="J130" s="14">
        <v>1.67875</v>
      </c>
      <c r="K130" s="10">
        <f t="shared" si="3"/>
        <v>-5.5698185045013622E-2</v>
      </c>
    </row>
    <row r="131" spans="1:11" x14ac:dyDescent="0.4">
      <c r="A131" s="55">
        <v>40147</v>
      </c>
      <c r="B131" s="14">
        <v>43.56</v>
      </c>
      <c r="C131" s="14">
        <v>44.65</v>
      </c>
      <c r="D131" s="14">
        <v>40.64</v>
      </c>
      <c r="E131" s="14">
        <v>41</v>
      </c>
      <c r="F131" s="10">
        <f t="shared" si="2"/>
        <v>6.3476562500000028E-2</v>
      </c>
      <c r="G131" s="14">
        <v>1.7053130000000001</v>
      </c>
      <c r="H131" s="14">
        <v>1.900625</v>
      </c>
      <c r="I131" s="14">
        <v>1.657813</v>
      </c>
      <c r="J131" s="14">
        <v>1.8587499999999999</v>
      </c>
      <c r="K131" s="10">
        <f t="shared" si="3"/>
        <v>0.14139296669551429</v>
      </c>
    </row>
    <row r="132" spans="1:11" x14ac:dyDescent="0.4">
      <c r="A132" s="55">
        <v>40178</v>
      </c>
      <c r="B132" s="14">
        <v>45.75</v>
      </c>
      <c r="C132" s="14">
        <v>46.3</v>
      </c>
      <c r="D132" s="14">
        <v>43.32</v>
      </c>
      <c r="E132" s="14">
        <v>43.88</v>
      </c>
      <c r="F132" s="10">
        <f t="shared" ref="F132:F195" si="4">(B132-B131)/B131</f>
        <v>5.0275482093663858E-2</v>
      </c>
      <c r="G132" s="14">
        <v>1.900938</v>
      </c>
      <c r="H132" s="14">
        <v>1.9281250000000001</v>
      </c>
      <c r="I132" s="14">
        <v>1.6043750000000001</v>
      </c>
      <c r="J132" s="14">
        <v>1.6168750000000001</v>
      </c>
      <c r="K132" s="10">
        <f t="shared" si="3"/>
        <v>0.11471501126186215</v>
      </c>
    </row>
    <row r="133" spans="1:11" x14ac:dyDescent="0.4">
      <c r="A133" s="55">
        <v>40209</v>
      </c>
      <c r="B133" s="14">
        <v>42.79</v>
      </c>
      <c r="C133" s="14">
        <v>46.64</v>
      </c>
      <c r="D133" s="14">
        <v>42.63</v>
      </c>
      <c r="E133" s="14">
        <v>46.33</v>
      </c>
      <c r="F133" s="10">
        <f t="shared" si="4"/>
        <v>-6.4699453551912589E-2</v>
      </c>
      <c r="G133" s="14">
        <v>1.6256250000000001</v>
      </c>
      <c r="H133" s="14">
        <v>1.7875000000000001</v>
      </c>
      <c r="I133" s="14">
        <v>1.564063</v>
      </c>
      <c r="J133" s="14">
        <v>1.7649999999999999</v>
      </c>
      <c r="K133" s="10">
        <f t="shared" ref="K133:K196" si="5">(G133-G132)/G132</f>
        <v>-0.14483007862434225</v>
      </c>
    </row>
    <row r="134" spans="1:11" x14ac:dyDescent="0.4">
      <c r="A134" s="55">
        <v>40237</v>
      </c>
      <c r="B134" s="14">
        <v>44.76</v>
      </c>
      <c r="C134" s="14">
        <v>45.05</v>
      </c>
      <c r="D134" s="14">
        <v>42.12</v>
      </c>
      <c r="E134" s="14">
        <v>42.91</v>
      </c>
      <c r="F134" s="10">
        <f t="shared" si="4"/>
        <v>4.6038794110773516E-2</v>
      </c>
      <c r="G134" s="14">
        <v>1.778125</v>
      </c>
      <c r="H134" s="14">
        <v>2.0803129999999999</v>
      </c>
      <c r="I134" s="14">
        <v>1.778125</v>
      </c>
      <c r="J134" s="14">
        <v>2.0449999999999999</v>
      </c>
      <c r="K134" s="10">
        <f t="shared" si="5"/>
        <v>9.3810073048827283E-2</v>
      </c>
    </row>
    <row r="135" spans="1:11" x14ac:dyDescent="0.4">
      <c r="A135" s="55">
        <v>40268</v>
      </c>
      <c r="B135" s="14">
        <v>48.16</v>
      </c>
      <c r="C135" s="14">
        <v>48.6</v>
      </c>
      <c r="D135" s="14">
        <v>44.95</v>
      </c>
      <c r="E135" s="14">
        <v>44.96</v>
      </c>
      <c r="F135" s="10">
        <f t="shared" si="4"/>
        <v>7.5960679177837331E-2</v>
      </c>
      <c r="G135" s="14">
        <v>2.0584380000000002</v>
      </c>
      <c r="H135" s="14">
        <v>2.255938</v>
      </c>
      <c r="I135" s="14">
        <v>2.0109379999999999</v>
      </c>
      <c r="J135" s="14">
        <v>2.1312500000000001</v>
      </c>
      <c r="K135" s="10">
        <f t="shared" si="5"/>
        <v>0.15764527240773302</v>
      </c>
    </row>
    <row r="136" spans="1:11" x14ac:dyDescent="0.4">
      <c r="A136" s="55">
        <v>40298</v>
      </c>
      <c r="B136" s="14">
        <v>49.24</v>
      </c>
      <c r="C136" s="14">
        <v>50.65</v>
      </c>
      <c r="D136" s="14">
        <v>47.79</v>
      </c>
      <c r="E136" s="14">
        <v>48.36</v>
      </c>
      <c r="F136" s="10">
        <f t="shared" si="4"/>
        <v>2.2425249169435328E-2</v>
      </c>
      <c r="G136" s="14">
        <v>2.1456249999999999</v>
      </c>
      <c r="H136" s="14">
        <v>2.209063</v>
      </c>
      <c r="I136" s="14">
        <v>1.504375</v>
      </c>
      <c r="J136" s="14">
        <v>1.805938</v>
      </c>
      <c r="K136" s="10">
        <f t="shared" si="5"/>
        <v>4.2355902873926578E-2</v>
      </c>
    </row>
    <row r="137" spans="1:11" x14ac:dyDescent="0.4">
      <c r="A137" s="55">
        <v>40329</v>
      </c>
      <c r="B137" s="14">
        <v>45.6</v>
      </c>
      <c r="C137" s="14">
        <v>50.17</v>
      </c>
      <c r="D137" s="14">
        <v>41.55</v>
      </c>
      <c r="E137" s="14">
        <v>49.44</v>
      </c>
      <c r="F137" s="10">
        <f t="shared" si="4"/>
        <v>-7.3923639317627951E-2</v>
      </c>
      <c r="G137" s="14">
        <v>1.7953129999999999</v>
      </c>
      <c r="H137" s="14">
        <v>1.973125</v>
      </c>
      <c r="I137" s="14">
        <v>1.5734379999999999</v>
      </c>
      <c r="J137" s="14">
        <v>1.58125</v>
      </c>
      <c r="K137" s="10">
        <f t="shared" si="5"/>
        <v>-0.16326804544130497</v>
      </c>
    </row>
    <row r="138" spans="1:11" x14ac:dyDescent="0.4">
      <c r="A138" s="55">
        <v>40359</v>
      </c>
      <c r="B138" s="14">
        <v>42.71</v>
      </c>
      <c r="C138" s="14">
        <v>47.68</v>
      </c>
      <c r="D138" s="14">
        <v>42.64</v>
      </c>
      <c r="E138" s="14">
        <v>45.46</v>
      </c>
      <c r="F138" s="10">
        <f t="shared" si="4"/>
        <v>-6.3377192982456157E-2</v>
      </c>
      <c r="G138" s="14">
        <v>1.5887500000000001</v>
      </c>
      <c r="H138" s="14">
        <v>1.8825000000000001</v>
      </c>
      <c r="I138" s="14">
        <v>1.5106250000000001</v>
      </c>
      <c r="J138" s="14">
        <v>1.8106249999999999</v>
      </c>
      <c r="K138" s="10">
        <f t="shared" si="5"/>
        <v>-0.11505681739061648</v>
      </c>
    </row>
    <row r="139" spans="1:11" x14ac:dyDescent="0.4">
      <c r="A139" s="55">
        <v>40390</v>
      </c>
      <c r="B139" s="14">
        <v>45.81</v>
      </c>
      <c r="C139" s="14">
        <v>46.72</v>
      </c>
      <c r="D139" s="14">
        <v>41.77</v>
      </c>
      <c r="E139" s="14">
        <v>42.84</v>
      </c>
      <c r="F139" s="10">
        <f t="shared" si="4"/>
        <v>7.2582533364551657E-2</v>
      </c>
      <c r="G139" s="14">
        <v>1.855</v>
      </c>
      <c r="H139" s="14">
        <v>1.91875</v>
      </c>
      <c r="I139" s="14">
        <v>1.5865629999999999</v>
      </c>
      <c r="J139" s="14">
        <v>1.6256250000000001</v>
      </c>
      <c r="K139" s="10">
        <f t="shared" si="5"/>
        <v>0.16758457907159707</v>
      </c>
    </row>
    <row r="140" spans="1:11" x14ac:dyDescent="0.4">
      <c r="A140" s="55">
        <v>40421</v>
      </c>
      <c r="B140" s="14">
        <v>43.46</v>
      </c>
      <c r="C140" s="14">
        <v>47.19</v>
      </c>
      <c r="D140" s="14">
        <v>42.97</v>
      </c>
      <c r="E140" s="14">
        <v>46.39</v>
      </c>
      <c r="F140" s="10">
        <f t="shared" si="4"/>
        <v>-5.1298843047369598E-2</v>
      </c>
      <c r="G140" s="14">
        <v>1.67</v>
      </c>
      <c r="H140" s="14">
        <v>2.1375000000000002</v>
      </c>
      <c r="I140" s="14">
        <v>1.6684380000000001</v>
      </c>
      <c r="J140" s="14">
        <v>2.0715629999999998</v>
      </c>
      <c r="K140" s="10">
        <f t="shared" si="5"/>
        <v>-9.973045822102429E-2</v>
      </c>
    </row>
    <row r="141" spans="1:11" x14ac:dyDescent="0.4">
      <c r="A141" s="55">
        <v>40451</v>
      </c>
      <c r="B141" s="14">
        <v>49.07</v>
      </c>
      <c r="C141" s="14">
        <v>49.84</v>
      </c>
      <c r="D141" s="14">
        <v>44.07</v>
      </c>
      <c r="E141" s="14">
        <v>44.1</v>
      </c>
      <c r="F141" s="10">
        <f t="shared" si="4"/>
        <v>0.12908421537045559</v>
      </c>
      <c r="G141" s="14">
        <v>2.1056249999999999</v>
      </c>
      <c r="H141" s="14">
        <v>2.3643749999999999</v>
      </c>
      <c r="I141" s="14">
        <v>1.99875</v>
      </c>
      <c r="J141" s="14">
        <v>2.3396880000000002</v>
      </c>
      <c r="K141" s="10">
        <f t="shared" si="5"/>
        <v>0.26085329341317365</v>
      </c>
    </row>
    <row r="142" spans="1:11" x14ac:dyDescent="0.4">
      <c r="A142" s="55">
        <v>40482</v>
      </c>
      <c r="B142" s="14">
        <v>52.18</v>
      </c>
      <c r="C142" s="14">
        <v>52.49</v>
      </c>
      <c r="D142" s="14">
        <v>48.2</v>
      </c>
      <c r="E142" s="14">
        <v>49.48</v>
      </c>
      <c r="F142" s="10">
        <f t="shared" si="4"/>
        <v>6.3378846545750961E-2</v>
      </c>
      <c r="G142" s="14">
        <v>2.355</v>
      </c>
      <c r="H142" s="14">
        <v>2.5053130000000001</v>
      </c>
      <c r="I142" s="14">
        <v>2.249063</v>
      </c>
      <c r="J142" s="14">
        <v>2.3199999999999998</v>
      </c>
      <c r="K142" s="10">
        <f t="shared" si="5"/>
        <v>0.11843276936776498</v>
      </c>
    </row>
    <row r="143" spans="1:11" x14ac:dyDescent="0.4">
      <c r="A143" s="55">
        <v>40512</v>
      </c>
      <c r="B143" s="14">
        <v>52.09</v>
      </c>
      <c r="C143" s="14">
        <v>54.04</v>
      </c>
      <c r="D143" s="14">
        <v>50.85</v>
      </c>
      <c r="E143" s="14">
        <v>52.37</v>
      </c>
      <c r="F143" s="10">
        <f t="shared" si="4"/>
        <v>-1.724798773476357E-3</v>
      </c>
      <c r="G143" s="14">
        <v>2.3915630000000001</v>
      </c>
      <c r="H143" s="14">
        <v>2.5915629999999998</v>
      </c>
      <c r="I143" s="14">
        <v>2.3884379999999998</v>
      </c>
      <c r="J143" s="14">
        <v>2.5446879999999998</v>
      </c>
      <c r="K143" s="10">
        <f t="shared" si="5"/>
        <v>1.5525690021231475E-2</v>
      </c>
    </row>
    <row r="144" spans="1:11" x14ac:dyDescent="0.4">
      <c r="A144" s="55">
        <v>40543</v>
      </c>
      <c r="B144" s="14">
        <v>54.46</v>
      </c>
      <c r="C144" s="14">
        <v>54.96</v>
      </c>
      <c r="D144" s="14">
        <v>52.84</v>
      </c>
      <c r="E144" s="14">
        <v>52.86</v>
      </c>
      <c r="F144" s="10">
        <f t="shared" si="4"/>
        <v>4.5498176233442066E-2</v>
      </c>
      <c r="G144" s="14">
        <v>2.5912500000000001</v>
      </c>
      <c r="H144" s="14">
        <v>2.8156249999999998</v>
      </c>
      <c r="I144" s="14">
        <v>2.5865629999999999</v>
      </c>
      <c r="J144" s="14">
        <v>2.6843750000000002</v>
      </c>
      <c r="K144" s="10">
        <f t="shared" si="5"/>
        <v>8.3496441448542208E-2</v>
      </c>
    </row>
    <row r="145" spans="1:11" x14ac:dyDescent="0.4">
      <c r="A145" s="55">
        <v>40574</v>
      </c>
      <c r="B145" s="14">
        <v>56</v>
      </c>
      <c r="C145" s="14">
        <v>57.35</v>
      </c>
      <c r="D145" s="14">
        <v>54.92</v>
      </c>
      <c r="E145" s="14">
        <v>54.97</v>
      </c>
      <c r="F145" s="10">
        <f t="shared" si="4"/>
        <v>2.8277634961439573E-2</v>
      </c>
      <c r="G145" s="14">
        <v>2.7221880000000001</v>
      </c>
      <c r="H145" s="14">
        <v>2.9796879999999999</v>
      </c>
      <c r="I145" s="14">
        <v>2.6887500000000002</v>
      </c>
      <c r="J145" s="14">
        <v>2.8509380000000002</v>
      </c>
      <c r="K145" s="10">
        <f t="shared" si="5"/>
        <v>5.053082489146165E-2</v>
      </c>
    </row>
    <row r="146" spans="1:11" x14ac:dyDescent="0.4">
      <c r="A146" s="55">
        <v>40602</v>
      </c>
      <c r="B146" s="14">
        <v>57.77</v>
      </c>
      <c r="C146" s="14">
        <v>59.04</v>
      </c>
      <c r="D146" s="14">
        <v>56.13</v>
      </c>
      <c r="E146" s="14">
        <v>56.42</v>
      </c>
      <c r="F146" s="10">
        <f t="shared" si="4"/>
        <v>3.160714285714291E-2</v>
      </c>
      <c r="G146" s="14">
        <v>2.87</v>
      </c>
      <c r="H146" s="14">
        <v>2.9049999999999998</v>
      </c>
      <c r="I146" s="14">
        <v>2.4606249999999998</v>
      </c>
      <c r="J146" s="14">
        <v>2.811563</v>
      </c>
      <c r="K146" s="10">
        <f t="shared" si="5"/>
        <v>5.4298968329887592E-2</v>
      </c>
    </row>
    <row r="147" spans="1:11" x14ac:dyDescent="0.4">
      <c r="A147" s="55">
        <v>40633</v>
      </c>
      <c r="B147" s="14">
        <v>57.43</v>
      </c>
      <c r="C147" s="14">
        <v>58.37</v>
      </c>
      <c r="D147" s="14">
        <v>53.77</v>
      </c>
      <c r="E147" s="14">
        <v>58.02</v>
      </c>
      <c r="F147" s="10">
        <f t="shared" si="4"/>
        <v>-5.8854076510300047E-3</v>
      </c>
      <c r="G147" s="14">
        <v>2.8415629999999998</v>
      </c>
      <c r="H147" s="14">
        <v>2.9909379999999999</v>
      </c>
      <c r="I147" s="14">
        <v>2.6059380000000001</v>
      </c>
      <c r="J147" s="14">
        <v>2.9737499999999999</v>
      </c>
      <c r="K147" s="10">
        <f t="shared" si="5"/>
        <v>-9.9083623693380727E-3</v>
      </c>
    </row>
    <row r="148" spans="1:11" x14ac:dyDescent="0.4">
      <c r="A148" s="55">
        <v>40663</v>
      </c>
      <c r="B148" s="14">
        <v>59.08</v>
      </c>
      <c r="C148" s="14">
        <v>59.29</v>
      </c>
      <c r="D148" s="14">
        <v>55.32</v>
      </c>
      <c r="E148" s="14">
        <v>57.72</v>
      </c>
      <c r="F148" s="10">
        <f t="shared" si="4"/>
        <v>2.873062859132855E-2</v>
      </c>
      <c r="G148" s="14">
        <v>2.9809380000000001</v>
      </c>
      <c r="H148" s="14">
        <v>2.9968750000000002</v>
      </c>
      <c r="I148" s="14">
        <v>2.7084380000000001</v>
      </c>
      <c r="J148" s="14">
        <v>2.8890630000000002</v>
      </c>
      <c r="K148" s="10">
        <f t="shared" si="5"/>
        <v>4.9048710164089362E-2</v>
      </c>
    </row>
    <row r="149" spans="1:11" x14ac:dyDescent="0.4">
      <c r="A149" s="55">
        <v>40694</v>
      </c>
      <c r="B149" s="14">
        <v>58.36</v>
      </c>
      <c r="C149" s="14">
        <v>59.34</v>
      </c>
      <c r="D149" s="14">
        <v>56.47</v>
      </c>
      <c r="E149" s="14">
        <v>59.17</v>
      </c>
      <c r="F149" s="10">
        <f t="shared" si="4"/>
        <v>-1.2186865267433969E-2</v>
      </c>
      <c r="G149" s="14">
        <v>2.8778130000000002</v>
      </c>
      <c r="H149" s="14">
        <v>2.8915630000000001</v>
      </c>
      <c r="I149" s="14">
        <v>2.4350000000000001</v>
      </c>
      <c r="J149" s="14">
        <v>2.7634379999999998</v>
      </c>
      <c r="K149" s="10">
        <f t="shared" si="5"/>
        <v>-3.459481545741639E-2</v>
      </c>
    </row>
    <row r="150" spans="1:11" x14ac:dyDescent="0.4">
      <c r="A150" s="55">
        <v>40724</v>
      </c>
      <c r="B150" s="14">
        <v>57.05</v>
      </c>
      <c r="C150" s="14">
        <v>58.36</v>
      </c>
      <c r="D150" s="14">
        <v>53.62</v>
      </c>
      <c r="E150" s="14">
        <v>58.22</v>
      </c>
      <c r="F150" s="10">
        <f t="shared" si="4"/>
        <v>-2.2446881425634033E-2</v>
      </c>
      <c r="G150" s="14">
        <v>2.7690630000000001</v>
      </c>
      <c r="H150" s="14">
        <v>3.0337499999999999</v>
      </c>
      <c r="I150" s="14">
        <v>2.7437499999999999</v>
      </c>
      <c r="J150" s="14">
        <v>2.8471880000000001</v>
      </c>
      <c r="K150" s="10">
        <f t="shared" si="5"/>
        <v>-3.7789112774179602E-2</v>
      </c>
    </row>
    <row r="151" spans="1:11" x14ac:dyDescent="0.4">
      <c r="A151" s="55">
        <v>40755</v>
      </c>
      <c r="B151" s="14">
        <v>58</v>
      </c>
      <c r="C151" s="14">
        <v>59.83</v>
      </c>
      <c r="D151" s="14">
        <v>56.87</v>
      </c>
      <c r="E151" s="14">
        <v>57.08</v>
      </c>
      <c r="F151" s="10">
        <f t="shared" si="4"/>
        <v>1.6652059596844924E-2</v>
      </c>
      <c r="G151" s="14">
        <v>2.9137499999999998</v>
      </c>
      <c r="H151" s="14">
        <v>2.9284379999999999</v>
      </c>
      <c r="I151" s="14">
        <v>2.0806249999999999</v>
      </c>
      <c r="J151" s="14">
        <v>2.5162499999999999</v>
      </c>
      <c r="K151" s="10">
        <f t="shared" si="5"/>
        <v>5.2251248888161732E-2</v>
      </c>
    </row>
    <row r="152" spans="1:11" x14ac:dyDescent="0.4">
      <c r="A152" s="55">
        <v>40786</v>
      </c>
      <c r="B152" s="14">
        <v>55.06</v>
      </c>
      <c r="C152" s="14">
        <v>58.82</v>
      </c>
      <c r="D152" s="14">
        <v>49.93</v>
      </c>
      <c r="E152" s="14">
        <v>58.7</v>
      </c>
      <c r="F152" s="10">
        <f t="shared" si="4"/>
        <v>-5.0689655172413757E-2</v>
      </c>
      <c r="G152" s="14">
        <v>2.5271880000000002</v>
      </c>
      <c r="H152" s="14">
        <v>2.7284380000000001</v>
      </c>
      <c r="I152" s="14">
        <v>2.231563</v>
      </c>
      <c r="J152" s="14">
        <v>2.2796880000000002</v>
      </c>
      <c r="K152" s="10">
        <f t="shared" si="5"/>
        <v>-0.13266821106821095</v>
      </c>
    </row>
    <row r="153" spans="1:11" x14ac:dyDescent="0.4">
      <c r="A153" s="55">
        <v>40816</v>
      </c>
      <c r="B153" s="14">
        <v>52.49</v>
      </c>
      <c r="C153" s="14">
        <v>57.35</v>
      </c>
      <c r="D153" s="14">
        <v>51.91</v>
      </c>
      <c r="E153" s="14">
        <v>55.2</v>
      </c>
      <c r="F153" s="10">
        <f t="shared" si="4"/>
        <v>-4.6676353069378861E-2</v>
      </c>
      <c r="G153" s="14">
        <v>2.23875</v>
      </c>
      <c r="H153" s="14">
        <v>2.8774999999999999</v>
      </c>
      <c r="I153" s="14">
        <v>2.0740630000000002</v>
      </c>
      <c r="J153" s="14">
        <v>2.7584379999999999</v>
      </c>
      <c r="K153" s="10">
        <f t="shared" si="5"/>
        <v>-0.11413397024677237</v>
      </c>
    </row>
    <row r="154" spans="1:11" x14ac:dyDescent="0.4">
      <c r="A154" s="55">
        <v>40847</v>
      </c>
      <c r="B154" s="14">
        <v>57.95</v>
      </c>
      <c r="C154" s="14">
        <v>59.2</v>
      </c>
      <c r="D154" s="14">
        <v>50.1</v>
      </c>
      <c r="E154" s="14">
        <v>52.02</v>
      </c>
      <c r="F154" s="10">
        <f t="shared" si="4"/>
        <v>0.10401981329777102</v>
      </c>
      <c r="G154" s="14">
        <v>2.6271879999999999</v>
      </c>
      <c r="H154" s="14">
        <v>2.8518750000000002</v>
      </c>
      <c r="I154" s="14">
        <v>2.2821880000000001</v>
      </c>
      <c r="J154" s="14">
        <v>2.5878130000000001</v>
      </c>
      <c r="K154" s="10">
        <f t="shared" si="5"/>
        <v>0.17350664433277491</v>
      </c>
    </row>
    <row r="155" spans="1:11" x14ac:dyDescent="0.4">
      <c r="A155" s="55">
        <v>40877</v>
      </c>
      <c r="B155" s="14">
        <v>56.39</v>
      </c>
      <c r="C155" s="14">
        <v>58.98</v>
      </c>
      <c r="D155" s="14">
        <v>52.87</v>
      </c>
      <c r="E155" s="14">
        <v>56.52</v>
      </c>
      <c r="F155" s="10">
        <f t="shared" si="4"/>
        <v>-2.6919758412424541E-2</v>
      </c>
      <c r="G155" s="14">
        <v>2.5874999999999999</v>
      </c>
      <c r="H155" s="14">
        <v>2.7015630000000002</v>
      </c>
      <c r="I155" s="14">
        <v>2.3990629999999999</v>
      </c>
      <c r="J155" s="14">
        <v>2.5456249999999998</v>
      </c>
      <c r="K155" s="10">
        <f t="shared" si="5"/>
        <v>-1.5106646345826773E-2</v>
      </c>
    </row>
    <row r="156" spans="1:11" x14ac:dyDescent="0.4">
      <c r="A156" s="55">
        <v>40908</v>
      </c>
      <c r="B156" s="14">
        <v>55.83</v>
      </c>
      <c r="C156" s="14">
        <v>57.62</v>
      </c>
      <c r="D156" s="14">
        <v>54.17</v>
      </c>
      <c r="E156" s="14">
        <v>56.38</v>
      </c>
      <c r="F156" s="10">
        <f t="shared" si="4"/>
        <v>-9.9308388012059271E-3</v>
      </c>
      <c r="G156" s="14">
        <v>2.642188</v>
      </c>
      <c r="H156" s="14">
        <v>3.0178129999999999</v>
      </c>
      <c r="I156" s="14">
        <v>2.6106250000000002</v>
      </c>
      <c r="J156" s="14">
        <v>2.9853130000000001</v>
      </c>
      <c r="K156" s="10">
        <f t="shared" si="5"/>
        <v>2.1135458937198096E-2</v>
      </c>
    </row>
    <row r="157" spans="1:11" x14ac:dyDescent="0.4">
      <c r="A157" s="55">
        <v>40939</v>
      </c>
      <c r="B157" s="14">
        <v>60.53</v>
      </c>
      <c r="C157" s="14">
        <v>60.86</v>
      </c>
      <c r="D157" s="14">
        <v>56.56</v>
      </c>
      <c r="E157" s="14">
        <v>56.91</v>
      </c>
      <c r="F157" s="10">
        <f t="shared" si="4"/>
        <v>8.4184130395844575E-2</v>
      </c>
      <c r="G157" s="14">
        <v>3.0165630000000001</v>
      </c>
      <c r="H157" s="14">
        <v>3.4334380000000002</v>
      </c>
      <c r="I157" s="14">
        <v>2.9987499999999998</v>
      </c>
      <c r="J157" s="14">
        <v>3.376563</v>
      </c>
      <c r="K157" s="10">
        <f t="shared" si="5"/>
        <v>0.14169128010573059</v>
      </c>
    </row>
    <row r="158" spans="1:11" x14ac:dyDescent="0.4">
      <c r="A158" s="55">
        <v>40968</v>
      </c>
      <c r="B158" s="14">
        <v>64.41</v>
      </c>
      <c r="C158" s="14">
        <v>64.959999999999994</v>
      </c>
      <c r="D158" s="14">
        <v>60.66</v>
      </c>
      <c r="E158" s="14">
        <v>60.88</v>
      </c>
      <c r="F158" s="10">
        <f t="shared" si="4"/>
        <v>6.4100446059804986E-2</v>
      </c>
      <c r="G158" s="14">
        <v>3.4006249999999998</v>
      </c>
      <c r="H158" s="14">
        <v>3.8246880000000001</v>
      </c>
      <c r="I158" s="14">
        <v>3.2518750000000001</v>
      </c>
      <c r="J158" s="14">
        <v>3.7171880000000002</v>
      </c>
      <c r="K158" s="10">
        <f t="shared" si="5"/>
        <v>0.12731774539434437</v>
      </c>
    </row>
    <row r="159" spans="1:11" x14ac:dyDescent="0.4">
      <c r="A159" s="55">
        <v>40999</v>
      </c>
      <c r="B159" s="14">
        <v>67.55</v>
      </c>
      <c r="C159" s="14">
        <v>68.510000000000005</v>
      </c>
      <c r="D159" s="14">
        <v>63.23</v>
      </c>
      <c r="E159" s="14">
        <v>64.650000000000006</v>
      </c>
      <c r="F159" s="10">
        <f t="shared" si="4"/>
        <v>4.875019406924392E-2</v>
      </c>
      <c r="G159" s="14">
        <v>3.7087500000000002</v>
      </c>
      <c r="H159" s="14">
        <v>3.8275000000000001</v>
      </c>
      <c r="I159" s="14">
        <v>3.3771879999999999</v>
      </c>
      <c r="J159" s="14">
        <v>3.6215630000000001</v>
      </c>
      <c r="K159" s="10">
        <f t="shared" si="5"/>
        <v>9.0608344054401893E-2</v>
      </c>
    </row>
    <row r="160" spans="1:11" x14ac:dyDescent="0.4">
      <c r="A160" s="55">
        <v>41029</v>
      </c>
      <c r="B160" s="14">
        <v>66.760000000000005</v>
      </c>
      <c r="C160" s="14">
        <v>68.55</v>
      </c>
      <c r="D160" s="14">
        <v>64.45</v>
      </c>
      <c r="E160" s="14">
        <v>67.48</v>
      </c>
      <c r="F160" s="10">
        <f t="shared" si="4"/>
        <v>-1.1695040710584635E-2</v>
      </c>
      <c r="G160" s="14">
        <v>3.610938</v>
      </c>
      <c r="H160" s="14">
        <v>3.7128130000000001</v>
      </c>
      <c r="I160" s="14">
        <v>2.9081250000000001</v>
      </c>
      <c r="J160" s="14">
        <v>3.1168749999999998</v>
      </c>
      <c r="K160" s="10">
        <f t="shared" si="5"/>
        <v>-2.6373306370070841E-2</v>
      </c>
    </row>
    <row r="161" spans="1:11" x14ac:dyDescent="0.4">
      <c r="A161" s="55">
        <v>41060</v>
      </c>
      <c r="B161" s="14">
        <v>62.06</v>
      </c>
      <c r="C161" s="14">
        <v>67.63</v>
      </c>
      <c r="D161" s="14">
        <v>60.76</v>
      </c>
      <c r="E161" s="14">
        <v>66.69</v>
      </c>
      <c r="F161" s="10">
        <f t="shared" si="4"/>
        <v>-7.0401437986818485E-2</v>
      </c>
      <c r="G161" s="14">
        <v>3.0074999999999998</v>
      </c>
      <c r="H161" s="14">
        <v>3.379375</v>
      </c>
      <c r="I161" s="14">
        <v>2.9137499999999998</v>
      </c>
      <c r="J161" s="14">
        <v>3.3275000000000001</v>
      </c>
      <c r="K161" s="10">
        <f t="shared" si="5"/>
        <v>-0.16711391887648033</v>
      </c>
    </row>
    <row r="162" spans="1:11" x14ac:dyDescent="0.4">
      <c r="A162" s="55">
        <v>41090</v>
      </c>
      <c r="B162" s="14">
        <v>64.16</v>
      </c>
      <c r="C162" s="14">
        <v>64.569999999999993</v>
      </c>
      <c r="D162" s="14">
        <v>60.04</v>
      </c>
      <c r="E162" s="14">
        <v>60.94</v>
      </c>
      <c r="F162" s="10">
        <f t="shared" si="4"/>
        <v>3.3838221076377607E-2</v>
      </c>
      <c r="G162" s="14">
        <v>3.3374999999999999</v>
      </c>
      <c r="H162" s="14">
        <v>3.4431250000000002</v>
      </c>
      <c r="I162" s="14">
        <v>3.0918749999999999</v>
      </c>
      <c r="J162" s="14">
        <v>3.381875</v>
      </c>
      <c r="K162" s="10">
        <f t="shared" si="5"/>
        <v>0.1097256857855362</v>
      </c>
    </row>
    <row r="163" spans="1:11" x14ac:dyDescent="0.4">
      <c r="A163" s="55">
        <v>41121</v>
      </c>
      <c r="B163" s="14">
        <v>64.8</v>
      </c>
      <c r="C163" s="14">
        <v>65.31</v>
      </c>
      <c r="D163" s="14">
        <v>61.86</v>
      </c>
      <c r="E163" s="14">
        <v>64.25</v>
      </c>
      <c r="F163" s="10">
        <f t="shared" si="4"/>
        <v>9.975062344139661E-3</v>
      </c>
      <c r="G163" s="14">
        <v>3.4337499999999999</v>
      </c>
      <c r="H163" s="14">
        <v>3.8206250000000002</v>
      </c>
      <c r="I163" s="14">
        <v>3.2931249999999999</v>
      </c>
      <c r="J163" s="14">
        <v>3.7418749999999998</v>
      </c>
      <c r="K163" s="10">
        <f t="shared" si="5"/>
        <v>2.8838951310861408E-2</v>
      </c>
    </row>
    <row r="164" spans="1:11" x14ac:dyDescent="0.4">
      <c r="A164" s="55">
        <v>41152</v>
      </c>
      <c r="B164" s="14">
        <v>68.16</v>
      </c>
      <c r="C164" s="14">
        <v>68.88</v>
      </c>
      <c r="D164" s="14">
        <v>63.91</v>
      </c>
      <c r="E164" s="14">
        <v>65.260000000000005</v>
      </c>
      <c r="F164" s="10">
        <f t="shared" si="4"/>
        <v>5.1851851851851843E-2</v>
      </c>
      <c r="G164" s="14">
        <v>3.7293750000000001</v>
      </c>
      <c r="H164" s="14">
        <v>4.0225</v>
      </c>
      <c r="I164" s="14">
        <v>3.6587499999999999</v>
      </c>
      <c r="J164" s="14">
        <v>3.8018749999999999</v>
      </c>
      <c r="K164" s="10">
        <f t="shared" si="5"/>
        <v>8.6093920640699026E-2</v>
      </c>
    </row>
    <row r="165" spans="1:11" x14ac:dyDescent="0.4">
      <c r="A165" s="55">
        <v>41182</v>
      </c>
      <c r="B165" s="14">
        <v>68.569999999999993</v>
      </c>
      <c r="C165" s="14">
        <v>70.58</v>
      </c>
      <c r="D165" s="14">
        <v>67.42</v>
      </c>
      <c r="E165" s="14">
        <v>68.03</v>
      </c>
      <c r="F165" s="10">
        <f t="shared" si="4"/>
        <v>6.015258215962392E-3</v>
      </c>
      <c r="G165" s="14">
        <v>3.8374999999999999</v>
      </c>
      <c r="H165" s="14">
        <v>3.9337499999999999</v>
      </c>
      <c r="I165" s="14">
        <v>3.3693749999999998</v>
      </c>
      <c r="J165" s="14">
        <v>3.3981249999999998</v>
      </c>
      <c r="K165" s="10">
        <f t="shared" si="5"/>
        <v>2.8992793698675998E-2</v>
      </c>
    </row>
    <row r="166" spans="1:11" x14ac:dyDescent="0.4">
      <c r="A166" s="55">
        <v>41213</v>
      </c>
      <c r="B166" s="14">
        <v>64.95</v>
      </c>
      <c r="C166" s="14">
        <v>69.8</v>
      </c>
      <c r="D166" s="14">
        <v>64.650000000000006</v>
      </c>
      <c r="E166" s="14">
        <v>68.900000000000006</v>
      </c>
      <c r="F166" s="10">
        <f t="shared" si="4"/>
        <v>-5.2792766515968946E-2</v>
      </c>
      <c r="G166" s="14">
        <v>3.4393750000000001</v>
      </c>
      <c r="H166" s="14">
        <v>3.53125</v>
      </c>
      <c r="I166" s="14">
        <v>3.0212500000000002</v>
      </c>
      <c r="J166" s="14">
        <v>3.48</v>
      </c>
      <c r="K166" s="10">
        <f t="shared" si="5"/>
        <v>-0.10374592833876217</v>
      </c>
    </row>
    <row r="167" spans="1:11" x14ac:dyDescent="0.4">
      <c r="A167" s="55">
        <v>41243</v>
      </c>
      <c r="B167" s="14">
        <v>65.8</v>
      </c>
      <c r="C167" s="14">
        <v>66.209999999999994</v>
      </c>
      <c r="D167" s="14">
        <v>61.31</v>
      </c>
      <c r="E167" s="14">
        <v>65.36</v>
      </c>
      <c r="F167" s="10">
        <f t="shared" si="4"/>
        <v>1.3086989992301682E-2</v>
      </c>
      <c r="G167" s="14">
        <v>3.5325000000000002</v>
      </c>
      <c r="H167" s="14">
        <v>3.5750000000000002</v>
      </c>
      <c r="I167" s="14">
        <v>3.2718750000000001</v>
      </c>
      <c r="J167" s="14">
        <v>3.4256250000000001</v>
      </c>
      <c r="K167" s="10">
        <f t="shared" si="5"/>
        <v>2.7076140287116156E-2</v>
      </c>
    </row>
    <row r="168" spans="1:11" x14ac:dyDescent="0.4">
      <c r="A168" s="55">
        <v>41274</v>
      </c>
      <c r="B168" s="14">
        <v>65.13</v>
      </c>
      <c r="C168" s="14">
        <v>66.760000000000005</v>
      </c>
      <c r="D168" s="14">
        <v>63.58</v>
      </c>
      <c r="E168" s="14">
        <v>66.31</v>
      </c>
      <c r="F168" s="10">
        <f t="shared" si="4"/>
        <v>-1.018237082066872E-2</v>
      </c>
      <c r="G168" s="14">
        <v>3.5968749999999998</v>
      </c>
      <c r="H168" s="14">
        <v>3.71</v>
      </c>
      <c r="I168" s="14">
        <v>3.5387499999999998</v>
      </c>
      <c r="J168" s="14">
        <v>3.6074999999999999</v>
      </c>
      <c r="K168" s="10">
        <f t="shared" si="5"/>
        <v>1.8223637650389136E-2</v>
      </c>
    </row>
    <row r="169" spans="1:11" x14ac:dyDescent="0.4">
      <c r="A169" s="55">
        <v>41305</v>
      </c>
      <c r="B169" s="14">
        <v>66.87</v>
      </c>
      <c r="C169" s="14">
        <v>67.790000000000006</v>
      </c>
      <c r="D169" s="14">
        <v>66.17</v>
      </c>
      <c r="E169" s="14">
        <v>66.73</v>
      </c>
      <c r="F169" s="10">
        <f t="shared" si="4"/>
        <v>2.6715799170889131E-2</v>
      </c>
      <c r="G169" s="14">
        <v>3.66</v>
      </c>
      <c r="H169" s="14">
        <v>3.754375</v>
      </c>
      <c r="I169" s="14">
        <v>3.504375</v>
      </c>
      <c r="J169" s="14">
        <v>3.625</v>
      </c>
      <c r="K169" s="10">
        <f t="shared" si="5"/>
        <v>1.7549956559513556E-2</v>
      </c>
    </row>
    <row r="170" spans="1:11" x14ac:dyDescent="0.4">
      <c r="A170" s="55">
        <v>41333</v>
      </c>
      <c r="B170" s="14">
        <v>67.099999999999994</v>
      </c>
      <c r="C170" s="14">
        <v>68.260000000000005</v>
      </c>
      <c r="D170" s="14">
        <v>65.959999999999994</v>
      </c>
      <c r="E170" s="14">
        <v>67.34</v>
      </c>
      <c r="F170" s="10">
        <f t="shared" si="4"/>
        <v>3.4395094960369336E-3</v>
      </c>
      <c r="G170" s="14">
        <v>3.600625</v>
      </c>
      <c r="H170" s="14">
        <v>3.8431250000000001</v>
      </c>
      <c r="I170" s="14">
        <v>3.5649999999999999</v>
      </c>
      <c r="J170" s="14">
        <v>3.836875</v>
      </c>
      <c r="K170" s="10">
        <f t="shared" si="5"/>
        <v>-1.6222677595628465E-2</v>
      </c>
    </row>
    <row r="171" spans="1:11" x14ac:dyDescent="0.4">
      <c r="A171" s="55">
        <v>41364</v>
      </c>
      <c r="B171" s="14">
        <v>68.97</v>
      </c>
      <c r="C171" s="14">
        <v>69.06</v>
      </c>
      <c r="D171" s="14">
        <v>66.540000000000006</v>
      </c>
      <c r="E171" s="14">
        <v>66.87</v>
      </c>
      <c r="F171" s="10">
        <f t="shared" si="4"/>
        <v>2.7868852459016463E-2</v>
      </c>
      <c r="G171" s="14">
        <v>3.84</v>
      </c>
      <c r="H171" s="14">
        <v>4.0193750000000001</v>
      </c>
      <c r="I171" s="14">
        <v>3.5962499999999999</v>
      </c>
      <c r="J171" s="14">
        <v>4.015625</v>
      </c>
      <c r="K171" s="10">
        <f t="shared" si="5"/>
        <v>6.6481513626106548E-2</v>
      </c>
    </row>
    <row r="172" spans="1:11" x14ac:dyDescent="0.4">
      <c r="A172" s="55">
        <v>41394</v>
      </c>
      <c r="B172" s="14">
        <v>70.72</v>
      </c>
      <c r="C172" s="14">
        <v>70.73</v>
      </c>
      <c r="D172" s="14">
        <v>66.88</v>
      </c>
      <c r="E172" s="14">
        <v>69.02</v>
      </c>
      <c r="F172" s="10">
        <f t="shared" si="4"/>
        <v>2.5373350732202406E-2</v>
      </c>
      <c r="G172" s="14">
        <v>4.0193750000000001</v>
      </c>
      <c r="H172" s="14">
        <v>4.5075000000000003</v>
      </c>
      <c r="I172" s="14">
        <v>3.9649999999999999</v>
      </c>
      <c r="J172" s="14">
        <v>4.3012499999999996</v>
      </c>
      <c r="K172" s="10">
        <f t="shared" si="5"/>
        <v>4.6712239583333412E-2</v>
      </c>
    </row>
    <row r="173" spans="1:11" x14ac:dyDescent="0.4">
      <c r="A173" s="55">
        <v>41425</v>
      </c>
      <c r="B173" s="14">
        <v>73.25</v>
      </c>
      <c r="C173" s="14">
        <v>74.95</v>
      </c>
      <c r="D173" s="14">
        <v>70.25</v>
      </c>
      <c r="E173" s="14">
        <v>70.739999999999995</v>
      </c>
      <c r="F173" s="10">
        <f t="shared" si="4"/>
        <v>3.5774886877828073E-2</v>
      </c>
      <c r="G173" s="14">
        <v>4.3087499999999999</v>
      </c>
      <c r="H173" s="14">
        <v>4.37</v>
      </c>
      <c r="I173" s="14">
        <v>3.8487499999999999</v>
      </c>
      <c r="J173" s="14">
        <v>4.0787500000000003</v>
      </c>
      <c r="K173" s="10">
        <f t="shared" si="5"/>
        <v>7.1995024102005839E-2</v>
      </c>
    </row>
    <row r="174" spans="1:11" x14ac:dyDescent="0.4">
      <c r="A174" s="55">
        <v>41455</v>
      </c>
      <c r="B174" s="14">
        <v>71.27</v>
      </c>
      <c r="C174" s="14">
        <v>73.819999999999993</v>
      </c>
      <c r="D174" s="14">
        <v>69.150000000000006</v>
      </c>
      <c r="E174" s="14">
        <v>73.260000000000005</v>
      </c>
      <c r="F174" s="10">
        <f t="shared" si="4"/>
        <v>-2.7030716723549543E-2</v>
      </c>
      <c r="G174" s="14">
        <v>4.1418749999999998</v>
      </c>
      <c r="H174" s="14">
        <v>4.6637500000000003</v>
      </c>
      <c r="I174" s="14">
        <v>4.0962500000000004</v>
      </c>
      <c r="J174" s="14">
        <v>4.6112500000000001</v>
      </c>
      <c r="K174" s="10">
        <f t="shared" si="5"/>
        <v>-3.8729329852045281E-2</v>
      </c>
    </row>
    <row r="175" spans="1:11" x14ac:dyDescent="0.4">
      <c r="A175" s="55">
        <v>41486</v>
      </c>
      <c r="B175" s="14">
        <v>75.77</v>
      </c>
      <c r="C175" s="14">
        <v>76.209999999999994</v>
      </c>
      <c r="D175" s="14">
        <v>71.349999999999994</v>
      </c>
      <c r="E175" s="14">
        <v>71.75</v>
      </c>
      <c r="F175" s="10">
        <f t="shared" si="4"/>
        <v>6.3140171180019647E-2</v>
      </c>
      <c r="G175" s="14">
        <v>4.6743750000000004</v>
      </c>
      <c r="H175" s="14">
        <v>4.7931249999999999</v>
      </c>
      <c r="I175" s="14">
        <v>4.5049999999999999</v>
      </c>
      <c r="J175" s="14">
        <v>4.5631250000000003</v>
      </c>
      <c r="K175" s="10">
        <f t="shared" si="5"/>
        <v>0.1285649615210504</v>
      </c>
    </row>
    <row r="176" spans="1:11" x14ac:dyDescent="0.4">
      <c r="A176" s="55">
        <v>41517</v>
      </c>
      <c r="B176" s="14">
        <v>75.47</v>
      </c>
      <c r="C176" s="14">
        <v>77.28</v>
      </c>
      <c r="D176" s="14">
        <v>74.959999999999994</v>
      </c>
      <c r="E176" s="14">
        <v>76.290000000000006</v>
      </c>
      <c r="F176" s="10">
        <f t="shared" si="4"/>
        <v>-3.9593506664906582E-3</v>
      </c>
      <c r="G176" s="14">
        <v>4.640625</v>
      </c>
      <c r="H176" s="14">
        <v>5.09375</v>
      </c>
      <c r="I176" s="14">
        <v>4.5750000000000002</v>
      </c>
      <c r="J176" s="14">
        <v>4.9993749999999997</v>
      </c>
      <c r="K176" s="10">
        <f t="shared" si="5"/>
        <v>-7.2202166064982776E-3</v>
      </c>
    </row>
    <row r="177" spans="1:11" x14ac:dyDescent="0.4">
      <c r="A177" s="55">
        <v>41547</v>
      </c>
      <c r="B177" s="14">
        <v>78.88</v>
      </c>
      <c r="C177" s="14">
        <v>79.680000000000007</v>
      </c>
      <c r="D177" s="14">
        <v>75.540000000000006</v>
      </c>
      <c r="E177" s="14">
        <v>76.09</v>
      </c>
      <c r="F177" s="10">
        <f t="shared" si="4"/>
        <v>4.5183516629124114E-2</v>
      </c>
      <c r="G177" s="14">
        <v>5.01</v>
      </c>
      <c r="H177" s="14">
        <v>5.5949999999999998</v>
      </c>
      <c r="I177" s="14">
        <v>4.6887499999999998</v>
      </c>
      <c r="J177" s="14">
        <v>5.5025000000000004</v>
      </c>
      <c r="K177" s="10">
        <f t="shared" si="5"/>
        <v>7.9595959595959553E-2</v>
      </c>
    </row>
    <row r="178" spans="1:11" x14ac:dyDescent="0.4">
      <c r="A178" s="55">
        <v>41578</v>
      </c>
      <c r="B178" s="14">
        <v>82.79</v>
      </c>
      <c r="C178" s="14">
        <v>83.49</v>
      </c>
      <c r="D178" s="14">
        <v>76.349999999999994</v>
      </c>
      <c r="E178" s="14">
        <v>78.89</v>
      </c>
      <c r="F178" s="10">
        <f t="shared" si="4"/>
        <v>4.956896551724152E-2</v>
      </c>
      <c r="G178" s="14">
        <v>5.5350000000000001</v>
      </c>
      <c r="H178" s="14">
        <v>5.9056249999999997</v>
      </c>
      <c r="I178" s="14">
        <v>5.3137499999999998</v>
      </c>
      <c r="J178" s="14">
        <v>5.8825000000000003</v>
      </c>
      <c r="K178" s="10">
        <f t="shared" si="5"/>
        <v>0.10479041916167672</v>
      </c>
    </row>
    <row r="179" spans="1:11" x14ac:dyDescent="0.4">
      <c r="A179" s="55">
        <v>41608</v>
      </c>
      <c r="B179" s="14">
        <v>85.73</v>
      </c>
      <c r="C179" s="14">
        <v>85.84</v>
      </c>
      <c r="D179" s="14">
        <v>81.37</v>
      </c>
      <c r="E179" s="14">
        <v>83.07</v>
      </c>
      <c r="F179" s="10">
        <f t="shared" si="4"/>
        <v>3.551153520956634E-2</v>
      </c>
      <c r="G179" s="14">
        <v>5.9037499999999996</v>
      </c>
      <c r="H179" s="14">
        <v>6.2249999999999996</v>
      </c>
      <c r="I179" s="14">
        <v>5.6512500000000001</v>
      </c>
      <c r="J179" s="14">
        <v>6.2249999999999996</v>
      </c>
      <c r="K179" s="10">
        <f t="shared" si="5"/>
        <v>6.6621499548328716E-2</v>
      </c>
    </row>
    <row r="180" spans="1:11" x14ac:dyDescent="0.4">
      <c r="A180" s="55">
        <v>41639</v>
      </c>
      <c r="B180" s="14">
        <v>87.96</v>
      </c>
      <c r="C180" s="14">
        <v>87.96</v>
      </c>
      <c r="D180" s="14">
        <v>84.05</v>
      </c>
      <c r="E180" s="14">
        <v>85.82</v>
      </c>
      <c r="F180" s="10">
        <f t="shared" si="4"/>
        <v>2.6011897818733112E-2</v>
      </c>
      <c r="G180" s="14">
        <v>6.17</v>
      </c>
      <c r="H180" s="14">
        <v>6.3631250000000001</v>
      </c>
      <c r="I180" s="14">
        <v>5.7668749999999998</v>
      </c>
      <c r="J180" s="14">
        <v>5.9712500000000004</v>
      </c>
      <c r="K180" s="10">
        <f t="shared" si="5"/>
        <v>4.5098454372221104E-2</v>
      </c>
    </row>
    <row r="181" spans="1:11" x14ac:dyDescent="0.4">
      <c r="A181" s="55">
        <v>41670</v>
      </c>
      <c r="B181" s="14">
        <v>86.27</v>
      </c>
      <c r="C181" s="14">
        <v>89</v>
      </c>
      <c r="D181" s="14">
        <v>84.76</v>
      </c>
      <c r="E181" s="14">
        <v>87.56</v>
      </c>
      <c r="F181" s="10">
        <f t="shared" si="4"/>
        <v>-1.9213278763074101E-2</v>
      </c>
      <c r="G181" s="14">
        <v>5.953125</v>
      </c>
      <c r="H181" s="14">
        <v>6.6762499999999996</v>
      </c>
      <c r="I181" s="14">
        <v>5.6206250000000004</v>
      </c>
      <c r="J181" s="14">
        <v>6.5837500000000002</v>
      </c>
      <c r="K181" s="10">
        <f t="shared" si="5"/>
        <v>-3.5149918962722841E-2</v>
      </c>
    </row>
    <row r="182" spans="1:11" x14ac:dyDescent="0.4">
      <c r="A182" s="55">
        <v>41698</v>
      </c>
      <c r="B182" s="14">
        <v>90.34</v>
      </c>
      <c r="C182" s="14">
        <v>90.96</v>
      </c>
      <c r="D182" s="14">
        <v>83.74</v>
      </c>
      <c r="E182" s="14">
        <v>86.11</v>
      </c>
      <c r="F182" s="10">
        <f t="shared" si="4"/>
        <v>4.7177466094818682E-2</v>
      </c>
      <c r="G182" s="14">
        <v>6.4587500000000002</v>
      </c>
      <c r="H182" s="14">
        <v>6.7318749999999996</v>
      </c>
      <c r="I182" s="14">
        <v>6.0406250000000004</v>
      </c>
      <c r="J182" s="14">
        <v>6.2156250000000002</v>
      </c>
      <c r="K182" s="10">
        <f t="shared" si="5"/>
        <v>8.493438320209977E-2</v>
      </c>
    </row>
    <row r="183" spans="1:11" x14ac:dyDescent="0.4">
      <c r="A183" s="55">
        <v>41729</v>
      </c>
      <c r="B183" s="14">
        <v>87.67</v>
      </c>
      <c r="C183" s="14">
        <v>91.36</v>
      </c>
      <c r="D183" s="14">
        <v>86.4</v>
      </c>
      <c r="E183" s="14">
        <v>89.49</v>
      </c>
      <c r="F183" s="10">
        <f t="shared" si="4"/>
        <v>-2.955501439008193E-2</v>
      </c>
      <c r="G183" s="14">
        <v>6.2750000000000004</v>
      </c>
      <c r="H183" s="14">
        <v>6.5012499999999998</v>
      </c>
      <c r="I183" s="14">
        <v>5.5875000000000004</v>
      </c>
      <c r="J183" s="14">
        <v>6.1481250000000003</v>
      </c>
      <c r="K183" s="10">
        <f t="shared" si="5"/>
        <v>-2.8449777433713932E-2</v>
      </c>
    </row>
    <row r="184" spans="1:11" x14ac:dyDescent="0.4">
      <c r="A184" s="55">
        <v>41759</v>
      </c>
      <c r="B184" s="14">
        <v>87.39</v>
      </c>
      <c r="C184" s="14">
        <v>89.68</v>
      </c>
      <c r="D184" s="14">
        <v>83.28</v>
      </c>
      <c r="E184" s="14">
        <v>88.08</v>
      </c>
      <c r="F184" s="10">
        <f t="shared" si="4"/>
        <v>-3.1937949127409733E-3</v>
      </c>
      <c r="G184" s="14">
        <v>6.163125</v>
      </c>
      <c r="H184" s="14">
        <v>6.7212500000000004</v>
      </c>
      <c r="I184" s="14">
        <v>5.8875000000000002</v>
      </c>
      <c r="J184" s="14">
        <v>6.7006249999999996</v>
      </c>
      <c r="K184" s="10">
        <f t="shared" si="5"/>
        <v>-1.7828685258964205E-2</v>
      </c>
    </row>
    <row r="185" spans="1:11" x14ac:dyDescent="0.4">
      <c r="A185" s="55">
        <v>41790</v>
      </c>
      <c r="B185" s="14">
        <v>91.31</v>
      </c>
      <c r="C185" s="14">
        <v>91.45</v>
      </c>
      <c r="D185" s="14">
        <v>85.53</v>
      </c>
      <c r="E185" s="14">
        <v>87.53</v>
      </c>
      <c r="F185" s="10">
        <f t="shared" si="4"/>
        <v>4.4856390891406361E-2</v>
      </c>
      <c r="G185" s="14">
        <v>6.7156250000000002</v>
      </c>
      <c r="H185" s="14">
        <v>7.1393750000000002</v>
      </c>
      <c r="I185" s="14">
        <v>6.6018749999999997</v>
      </c>
      <c r="J185" s="14">
        <v>7.1062500000000002</v>
      </c>
      <c r="K185" s="10">
        <f t="shared" si="5"/>
        <v>8.9646080519217158E-2</v>
      </c>
    </row>
    <row r="186" spans="1:11" x14ac:dyDescent="0.4">
      <c r="A186" s="55">
        <v>41820</v>
      </c>
      <c r="B186" s="14">
        <v>93.91</v>
      </c>
      <c r="C186" s="14">
        <v>94.14</v>
      </c>
      <c r="D186" s="14">
        <v>90.64</v>
      </c>
      <c r="E186" s="14">
        <v>91.42</v>
      </c>
      <c r="F186" s="10">
        <f t="shared" si="4"/>
        <v>2.8474427773518718E-2</v>
      </c>
      <c r="G186" s="14">
        <v>7.1506249999999998</v>
      </c>
      <c r="H186" s="14">
        <v>7.6462500000000002</v>
      </c>
      <c r="I186" s="14">
        <v>7.0562500000000004</v>
      </c>
      <c r="J186" s="14">
        <v>7.2549999999999999</v>
      </c>
      <c r="K186" s="10">
        <f t="shared" si="5"/>
        <v>6.4774313634248432E-2</v>
      </c>
    </row>
    <row r="187" spans="1:11" x14ac:dyDescent="0.4">
      <c r="A187" s="55">
        <v>41851</v>
      </c>
      <c r="B187" s="14">
        <v>95.02</v>
      </c>
      <c r="C187" s="14">
        <v>97.51</v>
      </c>
      <c r="D187" s="14">
        <v>93.63</v>
      </c>
      <c r="E187" s="14">
        <v>94.24</v>
      </c>
      <c r="F187" s="10">
        <f t="shared" si="4"/>
        <v>1.1819827494409536E-2</v>
      </c>
      <c r="G187" s="14">
        <v>7.2275</v>
      </c>
      <c r="H187" s="14">
        <v>7.9918750000000003</v>
      </c>
      <c r="I187" s="14">
        <v>7.0806250000000004</v>
      </c>
      <c r="J187" s="14">
        <v>7.99125</v>
      </c>
      <c r="K187" s="10">
        <f t="shared" si="5"/>
        <v>1.0750808495760895E-2</v>
      </c>
    </row>
    <row r="188" spans="1:11" x14ac:dyDescent="0.4">
      <c r="A188" s="55">
        <v>41882</v>
      </c>
      <c r="B188" s="14">
        <v>99.78</v>
      </c>
      <c r="C188" s="14">
        <v>99.91</v>
      </c>
      <c r="D188" s="14">
        <v>93.89</v>
      </c>
      <c r="E188" s="14">
        <v>94.82</v>
      </c>
      <c r="F188" s="10">
        <f t="shared" si="4"/>
        <v>5.0094716901704958E-2</v>
      </c>
      <c r="G188" s="14">
        <v>8.0306250000000006</v>
      </c>
      <c r="H188" s="14">
        <v>8.1306250000000002</v>
      </c>
      <c r="I188" s="14">
        <v>7.6831250000000004</v>
      </c>
      <c r="J188" s="14">
        <v>7.8574999999999999</v>
      </c>
      <c r="K188" s="10">
        <f t="shared" si="5"/>
        <v>0.11112071947423044</v>
      </c>
    </row>
    <row r="189" spans="1:11" x14ac:dyDescent="0.4">
      <c r="A189" s="55">
        <v>41912</v>
      </c>
      <c r="B189" s="14">
        <v>98.79</v>
      </c>
      <c r="C189" s="14">
        <v>100.56</v>
      </c>
      <c r="D189" s="14">
        <v>97.7</v>
      </c>
      <c r="E189" s="14">
        <v>100.02</v>
      </c>
      <c r="F189" s="10">
        <f t="shared" si="4"/>
        <v>-9.9218280216475732E-3</v>
      </c>
      <c r="G189" s="14">
        <v>7.8125</v>
      </c>
      <c r="H189" s="14">
        <v>8.2843750000000007</v>
      </c>
      <c r="I189" s="14">
        <v>6.5281250000000002</v>
      </c>
      <c r="J189" s="14">
        <v>8.2287499999999998</v>
      </c>
      <c r="K189" s="10">
        <f t="shared" si="5"/>
        <v>-2.7161646820764329E-2</v>
      </c>
    </row>
    <row r="190" spans="1:11" x14ac:dyDescent="0.4">
      <c r="A190" s="55">
        <v>41943</v>
      </c>
      <c r="B190" s="14">
        <v>101.4</v>
      </c>
      <c r="C190" s="14">
        <v>101.75</v>
      </c>
      <c r="D190" s="14">
        <v>90.24</v>
      </c>
      <c r="E190" s="14">
        <v>98.54</v>
      </c>
      <c r="F190" s="10">
        <f t="shared" si="4"/>
        <v>2.6419678105071356E-2</v>
      </c>
      <c r="G190" s="14">
        <v>8.2449999999999992</v>
      </c>
      <c r="H190" s="14">
        <v>9.0262499999999992</v>
      </c>
      <c r="I190" s="14">
        <v>8.11</v>
      </c>
      <c r="J190" s="14">
        <v>8.9849999999999994</v>
      </c>
      <c r="K190" s="10">
        <f t="shared" si="5"/>
        <v>5.5359999999999902E-2</v>
      </c>
    </row>
    <row r="191" spans="1:11" x14ac:dyDescent="0.4">
      <c r="A191" s="55">
        <v>41973</v>
      </c>
      <c r="B191" s="14">
        <v>106.01</v>
      </c>
      <c r="C191" s="14">
        <v>106.25</v>
      </c>
      <c r="D191" s="14">
        <v>100.67</v>
      </c>
      <c r="E191" s="14">
        <v>101.53</v>
      </c>
      <c r="F191" s="10">
        <f t="shared" si="4"/>
        <v>4.5463510848126228E-2</v>
      </c>
      <c r="G191" s="14">
        <v>8.9362499999999994</v>
      </c>
      <c r="H191" s="14">
        <v>8.96875</v>
      </c>
      <c r="I191" s="14">
        <v>7.96875</v>
      </c>
      <c r="J191" s="14">
        <v>8.5462500000000006</v>
      </c>
      <c r="K191" s="10">
        <f t="shared" si="5"/>
        <v>8.3838690115221368E-2</v>
      </c>
    </row>
    <row r="192" spans="1:11" x14ac:dyDescent="0.4">
      <c r="A192" s="55">
        <v>42004</v>
      </c>
      <c r="B192" s="14">
        <v>103.25</v>
      </c>
      <c r="C192" s="14">
        <v>105.92</v>
      </c>
      <c r="D192" s="14">
        <v>99.92</v>
      </c>
      <c r="E192" s="14">
        <v>105.72</v>
      </c>
      <c r="F192" s="10">
        <f t="shared" si="4"/>
        <v>-2.6035279690595273E-2</v>
      </c>
      <c r="G192" s="14">
        <v>8.6312499999999996</v>
      </c>
      <c r="H192" s="14">
        <v>8.7512500000000006</v>
      </c>
      <c r="I192" s="14">
        <v>7.9081250000000001</v>
      </c>
      <c r="J192" s="14">
        <v>8.1743749999999995</v>
      </c>
      <c r="K192" s="10">
        <f t="shared" si="5"/>
        <v>-3.4130647643026965E-2</v>
      </c>
    </row>
    <row r="193" spans="1:11" x14ac:dyDescent="0.4">
      <c r="A193" s="55">
        <v>42035</v>
      </c>
      <c r="B193" s="14">
        <v>101.1</v>
      </c>
      <c r="C193" s="14">
        <v>104.58</v>
      </c>
      <c r="D193" s="14">
        <v>99.36</v>
      </c>
      <c r="E193" s="14">
        <v>103.76</v>
      </c>
      <c r="F193" s="10">
        <f t="shared" si="4"/>
        <v>-2.0823244552058168E-2</v>
      </c>
      <c r="G193" s="14">
        <v>8.2043750000000006</v>
      </c>
      <c r="H193" s="14">
        <v>9.4700000000000006</v>
      </c>
      <c r="I193" s="14">
        <v>7.9556250000000004</v>
      </c>
      <c r="J193" s="14">
        <v>9.3787500000000001</v>
      </c>
      <c r="K193" s="10">
        <f t="shared" si="5"/>
        <v>-4.9456915278783375E-2</v>
      </c>
    </row>
    <row r="194" spans="1:11" x14ac:dyDescent="0.4">
      <c r="A194" s="55">
        <v>42063</v>
      </c>
      <c r="B194" s="14">
        <v>108.4</v>
      </c>
      <c r="C194" s="14">
        <v>108.94</v>
      </c>
      <c r="D194" s="14">
        <v>99.75</v>
      </c>
      <c r="E194" s="14">
        <v>101.33</v>
      </c>
      <c r="F194" s="10">
        <f t="shared" si="4"/>
        <v>7.2205736894164305E-2</v>
      </c>
      <c r="G194" s="14">
        <v>9.4106249999999996</v>
      </c>
      <c r="H194" s="14">
        <v>9.5525000000000002</v>
      </c>
      <c r="I194" s="14">
        <v>8.6856249999999999</v>
      </c>
      <c r="J194" s="14">
        <v>8.9093750000000007</v>
      </c>
      <c r="K194" s="10">
        <f t="shared" si="5"/>
        <v>0.1470252152053019</v>
      </c>
    </row>
    <row r="195" spans="1:11" x14ac:dyDescent="0.4">
      <c r="A195" s="55">
        <v>42094</v>
      </c>
      <c r="B195" s="14">
        <v>105.6</v>
      </c>
      <c r="C195" s="14">
        <v>109.42</v>
      </c>
      <c r="D195" s="14">
        <v>104.24</v>
      </c>
      <c r="E195" s="14">
        <v>108.61</v>
      </c>
      <c r="F195" s="10">
        <f t="shared" si="4"/>
        <v>-2.583025830258313E-2</v>
      </c>
      <c r="G195" s="14">
        <v>8.90625</v>
      </c>
      <c r="H195" s="14">
        <v>9.8524999999999991</v>
      </c>
      <c r="I195" s="14">
        <v>8.6974999999999998</v>
      </c>
      <c r="J195" s="14">
        <v>9.2287499999999998</v>
      </c>
      <c r="K195" s="10">
        <f t="shared" si="5"/>
        <v>-5.3596333931061925E-2</v>
      </c>
    </row>
    <row r="196" spans="1:11" x14ac:dyDescent="0.4">
      <c r="A196" s="55">
        <v>42124</v>
      </c>
      <c r="B196" s="14">
        <v>107.63</v>
      </c>
      <c r="C196" s="14">
        <v>111.16</v>
      </c>
      <c r="D196" s="14">
        <v>104.34</v>
      </c>
      <c r="E196" s="14">
        <v>105.6</v>
      </c>
      <c r="F196" s="10">
        <f t="shared" ref="F196:F259" si="6">(B196-B195)/B195</f>
        <v>1.9223484848484861E-2</v>
      </c>
      <c r="G196" s="14">
        <v>9.3043750000000003</v>
      </c>
      <c r="H196" s="14">
        <v>9.8112499999999994</v>
      </c>
      <c r="I196" s="14">
        <v>8.9481249999999992</v>
      </c>
      <c r="J196" s="14">
        <v>9.6374999999999993</v>
      </c>
      <c r="K196" s="10">
        <f t="shared" si="5"/>
        <v>4.4701754385964944E-2</v>
      </c>
    </row>
    <row r="197" spans="1:11" x14ac:dyDescent="0.4">
      <c r="A197" s="55">
        <v>42155</v>
      </c>
      <c r="B197" s="14">
        <v>110.05</v>
      </c>
      <c r="C197" s="14">
        <v>111.08</v>
      </c>
      <c r="D197" s="14">
        <v>106</v>
      </c>
      <c r="E197" s="14">
        <v>108.05</v>
      </c>
      <c r="F197" s="10">
        <f t="shared" si="6"/>
        <v>2.2484437424509913E-2</v>
      </c>
      <c r="G197" s="14">
        <v>9.7312499999999993</v>
      </c>
      <c r="H197" s="14">
        <v>9.8487500000000008</v>
      </c>
      <c r="I197" s="14">
        <v>9.0662500000000001</v>
      </c>
      <c r="J197" s="14">
        <v>9.1437500000000007</v>
      </c>
      <c r="K197" s="10">
        <f t="shared" ref="K197:K260" si="7">(G197-G196)/G196</f>
        <v>4.5878954792772111E-2</v>
      </c>
    </row>
    <row r="198" spans="1:11" x14ac:dyDescent="0.4">
      <c r="A198" s="55">
        <v>42185</v>
      </c>
      <c r="B198" s="14">
        <v>107.07</v>
      </c>
      <c r="C198" s="14">
        <v>111.13</v>
      </c>
      <c r="D198" s="14">
        <v>106.64</v>
      </c>
      <c r="E198" s="14">
        <v>110.64</v>
      </c>
      <c r="F198" s="10">
        <f t="shared" si="6"/>
        <v>-2.7078600636074548E-2</v>
      </c>
      <c r="G198" s="14">
        <v>9.3212499999999991</v>
      </c>
      <c r="H198" s="14">
        <v>10.407500000000001</v>
      </c>
      <c r="I198" s="14">
        <v>8.9224999999999994</v>
      </c>
      <c r="J198" s="14">
        <v>9.9587500000000002</v>
      </c>
      <c r="K198" s="10">
        <f t="shared" si="7"/>
        <v>-4.2132305716120762E-2</v>
      </c>
    </row>
    <row r="199" spans="1:11" x14ac:dyDescent="0.4">
      <c r="A199" s="55">
        <v>42216</v>
      </c>
      <c r="B199" s="14">
        <v>111.95</v>
      </c>
      <c r="C199" s="14">
        <v>114.39</v>
      </c>
      <c r="D199" s="14">
        <v>105.83</v>
      </c>
      <c r="E199" s="14">
        <v>108.13</v>
      </c>
      <c r="F199" s="10">
        <f t="shared" si="6"/>
        <v>4.5577659475109833E-2</v>
      </c>
      <c r="G199" s="14">
        <v>9.9612499999999997</v>
      </c>
      <c r="H199" s="14">
        <v>10.141249999999999</v>
      </c>
      <c r="I199" s="14">
        <v>6.875</v>
      </c>
      <c r="J199" s="14">
        <v>8.5637500000000006</v>
      </c>
      <c r="K199" s="10">
        <f t="shared" si="7"/>
        <v>6.8660319163202421E-2</v>
      </c>
    </row>
    <row r="200" spans="1:11" x14ac:dyDescent="0.4">
      <c r="A200" s="55">
        <v>42247</v>
      </c>
      <c r="B200" s="14">
        <v>104.31</v>
      </c>
      <c r="C200" s="14">
        <v>113</v>
      </c>
      <c r="D200" s="14">
        <v>84.74</v>
      </c>
      <c r="E200" s="14">
        <v>111.97</v>
      </c>
      <c r="F200" s="10">
        <f t="shared" si="6"/>
        <v>-6.8244752121482802E-2</v>
      </c>
      <c r="G200" s="14">
        <v>8.1449999999999996</v>
      </c>
      <c r="H200" s="14">
        <v>9.2650000000000006</v>
      </c>
      <c r="I200" s="14">
        <v>7.6687500000000002</v>
      </c>
      <c r="J200" s="14">
        <v>8.1312499999999996</v>
      </c>
      <c r="K200" s="10">
        <f t="shared" si="7"/>
        <v>-0.18233153469695071</v>
      </c>
    </row>
    <row r="201" spans="1:11" x14ac:dyDescent="0.4">
      <c r="A201" s="55">
        <v>42277</v>
      </c>
      <c r="B201" s="14">
        <v>101.76</v>
      </c>
      <c r="C201" s="14">
        <v>108.73</v>
      </c>
      <c r="D201" s="14">
        <v>98.75</v>
      </c>
      <c r="E201" s="14">
        <v>101.71</v>
      </c>
      <c r="F201" s="10">
        <f t="shared" si="6"/>
        <v>-2.4446361806154702E-2</v>
      </c>
      <c r="G201" s="14">
        <v>8.1612500000000008</v>
      </c>
      <c r="H201" s="14">
        <v>10.19875</v>
      </c>
      <c r="I201" s="14">
        <v>7.9337499999999999</v>
      </c>
      <c r="J201" s="14">
        <v>10.067500000000001</v>
      </c>
      <c r="K201" s="10">
        <f t="shared" si="7"/>
        <v>1.9950890116637457E-3</v>
      </c>
    </row>
    <row r="202" spans="1:11" x14ac:dyDescent="0.4">
      <c r="A202" s="55">
        <v>42308</v>
      </c>
      <c r="B202" s="14">
        <v>113.33</v>
      </c>
      <c r="C202" s="14">
        <v>114.08</v>
      </c>
      <c r="D202" s="14">
        <v>100.48</v>
      </c>
      <c r="E202" s="14">
        <v>101.94</v>
      </c>
      <c r="F202" s="10">
        <f t="shared" si="6"/>
        <v>0.11369889937106911</v>
      </c>
      <c r="G202" s="14">
        <v>10.12125</v>
      </c>
      <c r="H202" s="14">
        <v>10.442500000000001</v>
      </c>
      <c r="I202" s="14">
        <v>9.3837499999999991</v>
      </c>
      <c r="J202" s="14">
        <v>10.16375</v>
      </c>
      <c r="K202" s="10">
        <f t="shared" si="7"/>
        <v>0.24015928932455186</v>
      </c>
    </row>
    <row r="203" spans="1:11" x14ac:dyDescent="0.4">
      <c r="A203" s="55">
        <v>42338</v>
      </c>
      <c r="B203" s="14">
        <v>114.02</v>
      </c>
      <c r="C203" s="14">
        <v>115.47</v>
      </c>
      <c r="D203" s="14">
        <v>109.48</v>
      </c>
      <c r="E203" s="14">
        <v>113.63</v>
      </c>
      <c r="F203" s="10">
        <f t="shared" si="6"/>
        <v>6.0884143651283662E-3</v>
      </c>
      <c r="G203" s="14">
        <v>10.241250000000001</v>
      </c>
      <c r="H203" s="14">
        <v>10.47125</v>
      </c>
      <c r="I203" s="14">
        <v>9.33</v>
      </c>
      <c r="J203" s="14">
        <v>9.7949999999999999</v>
      </c>
      <c r="K203" s="10">
        <f t="shared" si="7"/>
        <v>1.1856243052982685E-2</v>
      </c>
    </row>
    <row r="204" spans="1:11" x14ac:dyDescent="0.4">
      <c r="A204" s="55">
        <v>42369</v>
      </c>
      <c r="B204" s="14">
        <v>111.86</v>
      </c>
      <c r="C204" s="14">
        <v>115.75</v>
      </c>
      <c r="D204" s="14">
        <v>109.38</v>
      </c>
      <c r="E204" s="14">
        <v>114.48</v>
      </c>
      <c r="F204" s="10">
        <f t="shared" si="6"/>
        <v>-1.8944044904402706E-2</v>
      </c>
      <c r="G204" s="14">
        <v>9.3574999999999999</v>
      </c>
      <c r="H204" s="14">
        <v>9.4924999999999997</v>
      </c>
      <c r="I204" s="14">
        <v>7.35</v>
      </c>
      <c r="J204" s="14">
        <v>8.4149999999999991</v>
      </c>
      <c r="K204" s="10">
        <f t="shared" si="7"/>
        <v>-8.629317710240457E-2</v>
      </c>
    </row>
    <row r="205" spans="1:11" x14ac:dyDescent="0.4">
      <c r="A205" s="55">
        <v>42400</v>
      </c>
      <c r="B205" s="14">
        <v>104.13</v>
      </c>
      <c r="C205" s="14">
        <v>110.18</v>
      </c>
      <c r="D205" s="14">
        <v>97.25</v>
      </c>
      <c r="E205" s="14">
        <v>109.43</v>
      </c>
      <c r="F205" s="10">
        <f t="shared" si="6"/>
        <v>-6.9104237439656754E-2</v>
      </c>
      <c r="G205" s="14">
        <v>8.3287499999999994</v>
      </c>
      <c r="H205" s="14">
        <v>8.5225000000000009</v>
      </c>
      <c r="I205" s="14">
        <v>6.9537500000000003</v>
      </c>
      <c r="J205" s="14">
        <v>8.11</v>
      </c>
      <c r="K205" s="10">
        <f t="shared" si="7"/>
        <v>-0.10993855196366556</v>
      </c>
    </row>
    <row r="206" spans="1:11" x14ac:dyDescent="0.4">
      <c r="A206" s="55">
        <v>42429</v>
      </c>
      <c r="B206" s="14">
        <v>102.5</v>
      </c>
      <c r="C206" s="14">
        <v>104.8</v>
      </c>
      <c r="D206" s="14">
        <v>94.84</v>
      </c>
      <c r="E206" s="14">
        <v>103.62</v>
      </c>
      <c r="F206" s="10">
        <f t="shared" si="6"/>
        <v>-1.5653510035532465E-2</v>
      </c>
      <c r="G206" s="14">
        <v>8.2562499999999996</v>
      </c>
      <c r="H206" s="14">
        <v>9.3625000000000007</v>
      </c>
      <c r="I206" s="14">
        <v>8.2149999999999999</v>
      </c>
      <c r="J206" s="14">
        <v>9.2249999999999996</v>
      </c>
      <c r="K206" s="10">
        <f t="shared" si="7"/>
        <v>-8.7047876331982337E-3</v>
      </c>
    </row>
    <row r="207" spans="1:11" x14ac:dyDescent="0.4">
      <c r="A207" s="55">
        <v>42460</v>
      </c>
      <c r="B207" s="14">
        <v>109.2</v>
      </c>
      <c r="C207" s="14">
        <v>110.04</v>
      </c>
      <c r="D207" s="14">
        <v>103.16</v>
      </c>
      <c r="E207" s="14">
        <v>103.45</v>
      </c>
      <c r="F207" s="10">
        <f t="shared" si="6"/>
        <v>6.5365853658536616E-2</v>
      </c>
      <c r="G207" s="14">
        <v>9.11</v>
      </c>
      <c r="H207" s="14">
        <v>9.61</v>
      </c>
      <c r="I207" s="14">
        <v>8.4887499999999996</v>
      </c>
      <c r="J207" s="14">
        <v>8.6199999999999992</v>
      </c>
      <c r="K207" s="10">
        <f t="shared" si="7"/>
        <v>0.10340651021953064</v>
      </c>
    </row>
    <row r="208" spans="1:11" x14ac:dyDescent="0.4">
      <c r="A208" s="55">
        <v>42490</v>
      </c>
      <c r="B208" s="14">
        <v>105.72</v>
      </c>
      <c r="C208" s="14">
        <v>111.44</v>
      </c>
      <c r="D208" s="14">
        <v>104.88</v>
      </c>
      <c r="E208" s="14">
        <v>108.58</v>
      </c>
      <c r="F208" s="10">
        <f t="shared" si="6"/>
        <v>-3.1868131868131901E-2</v>
      </c>
      <c r="G208" s="14">
        <v>8.6537500000000005</v>
      </c>
      <c r="H208" s="14">
        <v>9.3937500000000007</v>
      </c>
      <c r="I208" s="14">
        <v>8.4024999999999999</v>
      </c>
      <c r="J208" s="14">
        <v>9.3674999999999997</v>
      </c>
      <c r="K208" s="10">
        <f t="shared" si="7"/>
        <v>-5.0082327113062458E-2</v>
      </c>
    </row>
    <row r="209" spans="1:11" x14ac:dyDescent="0.4">
      <c r="A209" s="55">
        <v>42521</v>
      </c>
      <c r="B209" s="14">
        <v>110.34</v>
      </c>
      <c r="C209" s="14">
        <v>110.51</v>
      </c>
      <c r="D209" s="14">
        <v>104.4</v>
      </c>
      <c r="E209" s="14">
        <v>105.97</v>
      </c>
      <c r="F209" s="10">
        <f t="shared" si="6"/>
        <v>4.3700340522133979E-2</v>
      </c>
      <c r="G209" s="14">
        <v>9.3037500000000009</v>
      </c>
      <c r="H209" s="14">
        <v>9.4312500000000004</v>
      </c>
      <c r="I209" s="14">
        <v>7.9725000000000001</v>
      </c>
      <c r="J209" s="14">
        <v>8.8949999999999996</v>
      </c>
      <c r="K209" s="10">
        <f t="shared" si="7"/>
        <v>7.5111945688285456E-2</v>
      </c>
    </row>
    <row r="210" spans="1:11" x14ac:dyDescent="0.4">
      <c r="A210" s="55">
        <v>42551</v>
      </c>
      <c r="B210" s="14">
        <v>107.54</v>
      </c>
      <c r="C210" s="14">
        <v>110.75</v>
      </c>
      <c r="D210" s="14">
        <v>101.75</v>
      </c>
      <c r="E210" s="14">
        <v>110</v>
      </c>
      <c r="F210" s="10">
        <f t="shared" si="6"/>
        <v>-2.5376110204821434E-2</v>
      </c>
      <c r="G210" s="14">
        <v>8.8925000000000001</v>
      </c>
      <c r="H210" s="14">
        <v>10.248749999999999</v>
      </c>
      <c r="I210" s="14">
        <v>8.7349999999999994</v>
      </c>
      <c r="J210" s="14">
        <v>10.19375</v>
      </c>
      <c r="K210" s="10">
        <f t="shared" si="7"/>
        <v>-4.4202606475883463E-2</v>
      </c>
    </row>
    <row r="211" spans="1:11" x14ac:dyDescent="0.4">
      <c r="A211" s="55">
        <v>42582</v>
      </c>
      <c r="B211" s="14">
        <v>115.23</v>
      </c>
      <c r="C211" s="14">
        <v>115.54</v>
      </c>
      <c r="D211" s="14">
        <v>106.57</v>
      </c>
      <c r="E211" s="14">
        <v>107.49</v>
      </c>
      <c r="F211" s="10">
        <f t="shared" si="6"/>
        <v>7.1508275990329148E-2</v>
      </c>
      <c r="G211" s="14">
        <v>10.20875</v>
      </c>
      <c r="H211" s="14">
        <v>10.68125</v>
      </c>
      <c r="I211" s="14">
        <v>10.01375</v>
      </c>
      <c r="J211" s="14">
        <v>10.38875</v>
      </c>
      <c r="K211" s="10">
        <f t="shared" si="7"/>
        <v>0.1480179926904695</v>
      </c>
    </row>
    <row r="212" spans="1:11" x14ac:dyDescent="0.4">
      <c r="A212" s="55">
        <v>42613</v>
      </c>
      <c r="B212" s="14">
        <v>116.44</v>
      </c>
      <c r="C212" s="14">
        <v>118.78</v>
      </c>
      <c r="D212" s="14">
        <v>114.22</v>
      </c>
      <c r="E212" s="14">
        <v>115.31</v>
      </c>
      <c r="F212" s="10">
        <f t="shared" si="6"/>
        <v>1.0500737655124479E-2</v>
      </c>
      <c r="G212" s="14">
        <v>10.4025</v>
      </c>
      <c r="H212" s="14">
        <v>10.92375</v>
      </c>
      <c r="I212" s="14">
        <v>9.8849999999999998</v>
      </c>
      <c r="J212" s="14">
        <v>10.817500000000001</v>
      </c>
      <c r="K212" s="10">
        <f t="shared" si="7"/>
        <v>1.897881719113502E-2</v>
      </c>
    </row>
    <row r="213" spans="1:11" x14ac:dyDescent="0.4">
      <c r="A213" s="55">
        <v>42643</v>
      </c>
      <c r="B213" s="14">
        <v>118.72</v>
      </c>
      <c r="C213" s="14">
        <v>119.22</v>
      </c>
      <c r="D213" s="14">
        <v>113.63</v>
      </c>
      <c r="E213" s="14">
        <v>116.48</v>
      </c>
      <c r="F213" s="10">
        <f t="shared" si="6"/>
        <v>1.9580900034352467E-2</v>
      </c>
      <c r="G213" s="14">
        <v>10.7875</v>
      </c>
      <c r="H213" s="14">
        <v>10.98</v>
      </c>
      <c r="I213" s="14">
        <v>10.31625</v>
      </c>
      <c r="J213" s="14">
        <v>10.48625</v>
      </c>
      <c r="K213" s="10">
        <f t="shared" si="7"/>
        <v>3.7010334054313844E-2</v>
      </c>
    </row>
    <row r="214" spans="1:11" x14ac:dyDescent="0.4">
      <c r="A214" s="55">
        <v>42674</v>
      </c>
      <c r="B214" s="14">
        <v>116.99</v>
      </c>
      <c r="C214" s="14">
        <v>119.66</v>
      </c>
      <c r="D214" s="14">
        <v>115.94</v>
      </c>
      <c r="E214" s="14">
        <v>118.53</v>
      </c>
      <c r="F214" s="10">
        <f t="shared" si="6"/>
        <v>-1.4572102425876044E-2</v>
      </c>
      <c r="G214" s="14">
        <v>10.525</v>
      </c>
      <c r="H214" s="14">
        <v>10.91625</v>
      </c>
      <c r="I214" s="14">
        <v>9.86</v>
      </c>
      <c r="J214" s="14">
        <v>10.546250000000001</v>
      </c>
      <c r="K214" s="10">
        <f t="shared" si="7"/>
        <v>-2.4333719582850456E-2</v>
      </c>
    </row>
    <row r="215" spans="1:11" x14ac:dyDescent="0.4">
      <c r="A215" s="55">
        <v>42704</v>
      </c>
      <c r="B215" s="14">
        <v>117.5</v>
      </c>
      <c r="C215" s="14">
        <v>119.51</v>
      </c>
      <c r="D215" s="14">
        <v>113.45</v>
      </c>
      <c r="E215" s="14">
        <v>117.19</v>
      </c>
      <c r="F215" s="10">
        <f t="shared" si="6"/>
        <v>4.3593469527310469E-3</v>
      </c>
      <c r="G215" s="14">
        <v>10.546250000000001</v>
      </c>
      <c r="H215" s="14">
        <v>11.31875</v>
      </c>
      <c r="I215" s="14">
        <v>10.141249999999999</v>
      </c>
      <c r="J215" s="14">
        <v>10.765000000000001</v>
      </c>
      <c r="K215" s="10">
        <f t="shared" si="7"/>
        <v>2.0190023752969322E-3</v>
      </c>
    </row>
    <row r="216" spans="1:11" x14ac:dyDescent="0.4">
      <c r="A216" s="55">
        <v>42735</v>
      </c>
      <c r="B216" s="14">
        <v>118.48</v>
      </c>
      <c r="C216" s="14">
        <v>121.52</v>
      </c>
      <c r="D216" s="14">
        <v>115.22</v>
      </c>
      <c r="E216" s="14">
        <v>117.46</v>
      </c>
      <c r="F216" s="10">
        <f t="shared" si="6"/>
        <v>8.3404255319149273E-3</v>
      </c>
      <c r="G216" s="14">
        <v>10.90875</v>
      </c>
      <c r="H216" s="14">
        <v>12.12875</v>
      </c>
      <c r="I216" s="14">
        <v>10.83375</v>
      </c>
      <c r="J216" s="14">
        <v>11.87125</v>
      </c>
      <c r="K216" s="10">
        <f t="shared" si="7"/>
        <v>3.4372407253763081E-2</v>
      </c>
    </row>
    <row r="217" spans="1:11" x14ac:dyDescent="0.4">
      <c r="A217" s="55">
        <v>42766</v>
      </c>
      <c r="B217" s="14">
        <v>124.57</v>
      </c>
      <c r="C217" s="14">
        <v>125.92</v>
      </c>
      <c r="D217" s="14">
        <v>118.89</v>
      </c>
      <c r="E217" s="14">
        <v>119.31</v>
      </c>
      <c r="F217" s="10">
        <f t="shared" si="6"/>
        <v>5.1401080351114022E-2</v>
      </c>
      <c r="G217" s="14">
        <v>12.02875</v>
      </c>
      <c r="H217" s="14">
        <v>13.046250000000001</v>
      </c>
      <c r="I217" s="14">
        <v>11.922499999999999</v>
      </c>
      <c r="J217" s="14">
        <v>12.911250000000001</v>
      </c>
      <c r="K217" s="10">
        <f t="shared" si="7"/>
        <v>0.10266987510026365</v>
      </c>
    </row>
    <row r="218" spans="1:11" x14ac:dyDescent="0.4">
      <c r="A218" s="55">
        <v>42794</v>
      </c>
      <c r="B218" s="14">
        <v>130.02000000000001</v>
      </c>
      <c r="C218" s="14">
        <v>130.69999999999999</v>
      </c>
      <c r="D218" s="14">
        <v>124.86</v>
      </c>
      <c r="E218" s="14">
        <v>125.42</v>
      </c>
      <c r="F218" s="10">
        <f t="shared" si="6"/>
        <v>4.3750501725937363E-2</v>
      </c>
      <c r="G218" s="14">
        <v>13.07</v>
      </c>
      <c r="H218" s="14">
        <v>13.477499999999999</v>
      </c>
      <c r="I218" s="14">
        <v>12.815</v>
      </c>
      <c r="J218" s="14">
        <v>13.407500000000001</v>
      </c>
      <c r="K218" s="10">
        <f t="shared" si="7"/>
        <v>8.6563441754130707E-2</v>
      </c>
    </row>
    <row r="219" spans="1:11" x14ac:dyDescent="0.4">
      <c r="A219" s="55">
        <v>42825</v>
      </c>
      <c r="B219" s="14">
        <v>132.38</v>
      </c>
      <c r="C219" s="14">
        <v>132.74</v>
      </c>
      <c r="D219" s="14">
        <v>129.4</v>
      </c>
      <c r="E219" s="14">
        <v>130.81</v>
      </c>
      <c r="F219" s="10">
        <f t="shared" si="6"/>
        <v>1.8151053684048492E-2</v>
      </c>
      <c r="G219" s="14">
        <v>13.428750000000001</v>
      </c>
      <c r="H219" s="14">
        <v>14.19375</v>
      </c>
      <c r="I219" s="14">
        <v>12.994999999999999</v>
      </c>
      <c r="J219" s="14">
        <v>14.12125</v>
      </c>
      <c r="K219" s="10">
        <f t="shared" si="7"/>
        <v>2.7448355011476706E-2</v>
      </c>
    </row>
    <row r="220" spans="1:11" x14ac:dyDescent="0.4">
      <c r="A220" s="55">
        <v>42855</v>
      </c>
      <c r="B220" s="14">
        <v>135.99</v>
      </c>
      <c r="C220" s="14">
        <v>136.34</v>
      </c>
      <c r="D220" s="14">
        <v>130.38</v>
      </c>
      <c r="E220" s="14">
        <v>132.47999999999999</v>
      </c>
      <c r="F220" s="10">
        <f t="shared" si="6"/>
        <v>2.7269980359571035E-2</v>
      </c>
      <c r="G220" s="14">
        <v>14.213749999999999</v>
      </c>
      <c r="H220" s="14">
        <v>15.317500000000001</v>
      </c>
      <c r="I220" s="14">
        <v>14.071249999999999</v>
      </c>
      <c r="J220" s="14">
        <v>15.1975</v>
      </c>
      <c r="K220" s="10">
        <f t="shared" si="7"/>
        <v>5.8456669459182597E-2</v>
      </c>
    </row>
    <row r="221" spans="1:11" x14ac:dyDescent="0.4">
      <c r="A221" s="55">
        <v>42886</v>
      </c>
      <c r="B221" s="14">
        <v>141.29</v>
      </c>
      <c r="C221" s="14">
        <v>141.84</v>
      </c>
      <c r="D221" s="14">
        <v>135.87</v>
      </c>
      <c r="E221" s="14">
        <v>136.46</v>
      </c>
      <c r="F221" s="10">
        <f t="shared" si="6"/>
        <v>3.8973453930435935E-2</v>
      </c>
      <c r="G221" s="14">
        <v>15.265000000000001</v>
      </c>
      <c r="H221" s="14">
        <v>15.758749999999999</v>
      </c>
      <c r="I221" s="14">
        <v>14.14875</v>
      </c>
      <c r="J221" s="14">
        <v>14.414999999999999</v>
      </c>
      <c r="K221" s="10">
        <f t="shared" si="7"/>
        <v>7.3960073872130952E-2</v>
      </c>
    </row>
    <row r="222" spans="1:11" x14ac:dyDescent="0.4">
      <c r="A222" s="55">
        <v>42916</v>
      </c>
      <c r="B222" s="14">
        <v>137.63999999999999</v>
      </c>
      <c r="C222" s="14">
        <v>143.9</v>
      </c>
      <c r="D222" s="14">
        <v>136.25</v>
      </c>
      <c r="E222" s="14">
        <v>141.57</v>
      </c>
      <c r="F222" s="10">
        <f t="shared" si="6"/>
        <v>-2.5833392313681123E-2</v>
      </c>
      <c r="G222" s="14">
        <v>14.56625</v>
      </c>
      <c r="H222" s="14">
        <v>16.202499</v>
      </c>
      <c r="I222" s="14">
        <v>14.05125</v>
      </c>
      <c r="J222" s="14">
        <v>15.5975</v>
      </c>
      <c r="K222" s="10">
        <f t="shared" si="7"/>
        <v>-4.5774647887323973E-2</v>
      </c>
    </row>
    <row r="223" spans="1:11" x14ac:dyDescent="0.4">
      <c r="A223" s="55">
        <v>42947</v>
      </c>
      <c r="B223" s="14">
        <v>143.22999999999999</v>
      </c>
      <c r="C223" s="14">
        <v>145.96</v>
      </c>
      <c r="D223" s="14">
        <v>135.80000000000001</v>
      </c>
      <c r="E223" s="14">
        <v>138.25</v>
      </c>
      <c r="F223" s="10">
        <f t="shared" si="6"/>
        <v>4.0613193839000319E-2</v>
      </c>
      <c r="G223" s="14">
        <v>15.695</v>
      </c>
      <c r="H223" s="14">
        <v>16.192499000000002</v>
      </c>
      <c r="I223" s="14">
        <v>14.9025</v>
      </c>
      <c r="J223" s="14">
        <v>16.155000999999999</v>
      </c>
      <c r="K223" s="10">
        <f t="shared" si="7"/>
        <v>7.7490774907749083E-2</v>
      </c>
    </row>
    <row r="224" spans="1:11" x14ac:dyDescent="0.4">
      <c r="A224" s="55">
        <v>42978</v>
      </c>
      <c r="B224" s="14">
        <v>146.19999999999999</v>
      </c>
      <c r="C224" s="14">
        <v>146.21</v>
      </c>
      <c r="D224" s="14">
        <v>140.18</v>
      </c>
      <c r="E224" s="14">
        <v>143.69999999999999</v>
      </c>
      <c r="F224" s="10">
        <f t="shared" si="6"/>
        <v>2.0735879354883746E-2</v>
      </c>
      <c r="G224" s="14">
        <v>16.235001</v>
      </c>
      <c r="H224" s="14">
        <v>16.2775</v>
      </c>
      <c r="I224" s="14">
        <v>15.3325</v>
      </c>
      <c r="J224" s="14">
        <v>16.055</v>
      </c>
      <c r="K224" s="10">
        <f t="shared" si="7"/>
        <v>3.4405925453966243E-2</v>
      </c>
    </row>
    <row r="225" spans="1:11" x14ac:dyDescent="0.4">
      <c r="A225" s="55">
        <v>43008</v>
      </c>
      <c r="B225" s="14">
        <v>145.44999999999999</v>
      </c>
      <c r="C225" s="14">
        <v>146.59</v>
      </c>
      <c r="D225" s="14">
        <v>142.1</v>
      </c>
      <c r="E225" s="14">
        <v>146.36000000000001</v>
      </c>
      <c r="F225" s="10">
        <f t="shared" si="6"/>
        <v>-5.1299589603283182E-3</v>
      </c>
      <c r="G225" s="14">
        <v>16.107500000000002</v>
      </c>
      <c r="H225" s="14">
        <v>17.57</v>
      </c>
      <c r="I225" s="14">
        <v>15.945</v>
      </c>
      <c r="J225" s="14">
        <v>17.52</v>
      </c>
      <c r="K225" s="10">
        <f t="shared" si="7"/>
        <v>-7.853464252943301E-3</v>
      </c>
    </row>
    <row r="226" spans="1:11" x14ac:dyDescent="0.4">
      <c r="A226" s="55">
        <v>43039</v>
      </c>
      <c r="B226" s="14">
        <v>152.15</v>
      </c>
      <c r="C226" s="14">
        <v>152.37</v>
      </c>
      <c r="D226" s="14">
        <v>144.93</v>
      </c>
      <c r="E226" s="14">
        <v>145.66999999999999</v>
      </c>
      <c r="F226" s="10">
        <f t="shared" si="6"/>
        <v>4.6063939498109434E-2</v>
      </c>
      <c r="G226" s="14">
        <v>17.649999999999999</v>
      </c>
      <c r="H226" s="14">
        <v>18.535</v>
      </c>
      <c r="I226" s="14">
        <v>17.204999999999998</v>
      </c>
      <c r="J226" s="14">
        <v>18.170000000000002</v>
      </c>
      <c r="K226" s="10">
        <f t="shared" si="7"/>
        <v>9.576284339593337E-2</v>
      </c>
    </row>
    <row r="227" spans="1:11" x14ac:dyDescent="0.4">
      <c r="A227" s="55">
        <v>43069</v>
      </c>
      <c r="B227" s="14">
        <v>155.15</v>
      </c>
      <c r="C227" s="14">
        <v>156.69</v>
      </c>
      <c r="D227" s="14">
        <v>150.77000000000001</v>
      </c>
      <c r="E227" s="14">
        <v>152.75</v>
      </c>
      <c r="F227" s="10">
        <f t="shared" si="6"/>
        <v>1.9717384160368057E-2</v>
      </c>
      <c r="G227" s="14">
        <v>17.934999000000001</v>
      </c>
      <c r="H227" s="14">
        <v>19.072500000000002</v>
      </c>
      <c r="I227" s="14">
        <v>17.440000999999999</v>
      </c>
      <c r="J227" s="14">
        <v>18.3325</v>
      </c>
      <c r="K227" s="10">
        <f t="shared" si="7"/>
        <v>1.6147252124646044E-2</v>
      </c>
    </row>
    <row r="228" spans="1:11" x14ac:dyDescent="0.4">
      <c r="A228" s="55">
        <v>43100</v>
      </c>
      <c r="B228" s="14">
        <v>155.76</v>
      </c>
      <c r="C228" s="14">
        <v>158.77000000000001</v>
      </c>
      <c r="D228" s="14">
        <v>152.06</v>
      </c>
      <c r="E228" s="14">
        <v>154.19</v>
      </c>
      <c r="F228" s="10">
        <f t="shared" si="6"/>
        <v>3.9316790203028371E-3</v>
      </c>
      <c r="G228" s="14">
        <v>18.514999</v>
      </c>
      <c r="H228" s="14">
        <v>22.002500999999999</v>
      </c>
      <c r="I228" s="14">
        <v>18.434999000000001</v>
      </c>
      <c r="J228" s="14">
        <v>21.602501</v>
      </c>
      <c r="K228" s="10">
        <f t="shared" si="7"/>
        <v>3.2339003754613994E-2</v>
      </c>
    </row>
    <row r="229" spans="1:11" x14ac:dyDescent="0.4">
      <c r="A229" s="55">
        <v>43131</v>
      </c>
      <c r="B229" s="14">
        <v>169.4</v>
      </c>
      <c r="C229" s="14">
        <v>170.95</v>
      </c>
      <c r="D229" s="14">
        <v>156.16999999999999</v>
      </c>
      <c r="E229" s="14">
        <v>156.5</v>
      </c>
      <c r="F229" s="10">
        <f t="shared" si="6"/>
        <v>8.7570621468926649E-2</v>
      </c>
      <c r="G229" s="14">
        <v>21.280000999999999</v>
      </c>
      <c r="H229" s="14">
        <v>21.76</v>
      </c>
      <c r="I229" s="14">
        <v>16.870000999999998</v>
      </c>
      <c r="J229" s="14">
        <v>20.862499</v>
      </c>
      <c r="K229" s="10">
        <f t="shared" si="7"/>
        <v>0.14933849037745014</v>
      </c>
    </row>
    <row r="230" spans="1:11" x14ac:dyDescent="0.4">
      <c r="A230" s="55">
        <v>43159</v>
      </c>
      <c r="B230" s="14">
        <v>167.21</v>
      </c>
      <c r="C230" s="14">
        <v>170.73</v>
      </c>
      <c r="D230" s="14">
        <v>150.13</v>
      </c>
      <c r="E230" s="14">
        <v>168.12</v>
      </c>
      <c r="F230" s="10">
        <f t="shared" si="6"/>
        <v>-1.2927981109799277E-2</v>
      </c>
      <c r="G230" s="14">
        <v>20.892499999999998</v>
      </c>
      <c r="H230" s="14">
        <v>22.870000999999998</v>
      </c>
      <c r="I230" s="14">
        <v>18.09</v>
      </c>
      <c r="J230" s="14">
        <v>19.049999</v>
      </c>
      <c r="K230" s="10">
        <f t="shared" si="7"/>
        <v>-1.8209632602930816E-2</v>
      </c>
    </row>
    <row r="231" spans="1:11" x14ac:dyDescent="0.4">
      <c r="A231" s="55">
        <v>43190</v>
      </c>
      <c r="B231" s="14">
        <v>160.13</v>
      </c>
      <c r="C231" s="14">
        <v>175.21</v>
      </c>
      <c r="D231" s="14">
        <v>156.04</v>
      </c>
      <c r="E231" s="14">
        <v>167.29</v>
      </c>
      <c r="F231" s="10">
        <f t="shared" si="6"/>
        <v>-4.2341965193469361E-2</v>
      </c>
      <c r="G231" s="14">
        <v>18.772499</v>
      </c>
      <c r="H231" s="14">
        <v>20.622499000000001</v>
      </c>
      <c r="I231" s="14">
        <v>17.555</v>
      </c>
      <c r="J231" s="14">
        <v>19.100000000000001</v>
      </c>
      <c r="K231" s="10">
        <f t="shared" si="7"/>
        <v>-0.10147186789517763</v>
      </c>
    </row>
    <row r="232" spans="1:11" x14ac:dyDescent="0.4">
      <c r="A232" s="55">
        <v>43220</v>
      </c>
      <c r="B232" s="14">
        <v>160.94</v>
      </c>
      <c r="C232" s="14">
        <v>167</v>
      </c>
      <c r="D232" s="14">
        <v>153.88</v>
      </c>
      <c r="E232" s="14">
        <v>159</v>
      </c>
      <c r="F232" s="10">
        <f t="shared" si="6"/>
        <v>5.0583900580778258E-3</v>
      </c>
      <c r="G232" s="14">
        <v>19.010000000000002</v>
      </c>
      <c r="H232" s="14">
        <v>21.532499000000001</v>
      </c>
      <c r="I232" s="14">
        <v>18.684999000000001</v>
      </c>
      <c r="J232" s="14">
        <v>21.252500999999999</v>
      </c>
      <c r="K232" s="10">
        <f t="shared" si="7"/>
        <v>1.2651538828155045E-2</v>
      </c>
    </row>
    <row r="233" spans="1:11" x14ac:dyDescent="0.4">
      <c r="A233" s="55">
        <v>43251</v>
      </c>
      <c r="B233" s="14">
        <v>170.07</v>
      </c>
      <c r="C233" s="14">
        <v>171.2</v>
      </c>
      <c r="D233" s="14">
        <v>159.22</v>
      </c>
      <c r="E233" s="14">
        <v>160.52000000000001</v>
      </c>
      <c r="F233" s="10">
        <f t="shared" si="6"/>
        <v>5.6729215856841028E-2</v>
      </c>
      <c r="G233" s="14">
        <v>21.459999</v>
      </c>
      <c r="H233" s="14">
        <v>23.322500000000002</v>
      </c>
      <c r="I233" s="14">
        <v>21.040001</v>
      </c>
      <c r="J233" s="14">
        <v>21.614999999999998</v>
      </c>
      <c r="K233" s="10">
        <f t="shared" si="7"/>
        <v>0.12887948448185155</v>
      </c>
    </row>
    <row r="234" spans="1:11" x14ac:dyDescent="0.4">
      <c r="A234" s="55">
        <v>43281</v>
      </c>
      <c r="B234" s="14">
        <v>171.65</v>
      </c>
      <c r="C234" s="14">
        <v>177.98</v>
      </c>
      <c r="D234" s="14">
        <v>169.17</v>
      </c>
      <c r="E234" s="14">
        <v>170.88</v>
      </c>
      <c r="F234" s="10">
        <f t="shared" si="6"/>
        <v>9.2902922326101763E-3</v>
      </c>
      <c r="G234" s="14">
        <v>21.247499000000001</v>
      </c>
      <c r="H234" s="14">
        <v>24.5075</v>
      </c>
      <c r="I234" s="14">
        <v>21.157499000000001</v>
      </c>
      <c r="J234" s="14">
        <v>22.704999999999998</v>
      </c>
      <c r="K234" s="10">
        <f t="shared" si="7"/>
        <v>-9.9021439842564112E-3</v>
      </c>
    </row>
    <row r="235" spans="1:11" x14ac:dyDescent="0.4">
      <c r="A235" s="55">
        <v>43312</v>
      </c>
      <c r="B235" s="14">
        <v>176.45</v>
      </c>
      <c r="C235" s="14">
        <v>182.93</v>
      </c>
      <c r="D235" s="14">
        <v>169.67</v>
      </c>
      <c r="E235" s="14">
        <v>170.04</v>
      </c>
      <c r="F235" s="10">
        <f t="shared" si="6"/>
        <v>2.7963879988348282E-2</v>
      </c>
      <c r="G235" s="14">
        <v>22.889999</v>
      </c>
      <c r="H235" s="14">
        <v>25.627500999999999</v>
      </c>
      <c r="I235" s="14">
        <v>22.6</v>
      </c>
      <c r="J235" s="14">
        <v>25.379999000000002</v>
      </c>
      <c r="K235" s="10">
        <f t="shared" si="7"/>
        <v>7.7303215780831339E-2</v>
      </c>
    </row>
    <row r="236" spans="1:11" x14ac:dyDescent="0.4">
      <c r="A236" s="55">
        <v>43343</v>
      </c>
      <c r="B236" s="14">
        <v>186.65</v>
      </c>
      <c r="C236" s="14">
        <v>187.52</v>
      </c>
      <c r="D236" s="14">
        <v>175.79</v>
      </c>
      <c r="E236" s="14">
        <v>176.87</v>
      </c>
      <c r="F236" s="10">
        <f t="shared" si="6"/>
        <v>5.7806744120147448E-2</v>
      </c>
      <c r="G236" s="14">
        <v>25.24</v>
      </c>
      <c r="H236" s="14">
        <v>25.344999000000001</v>
      </c>
      <c r="I236" s="14">
        <v>23.7075</v>
      </c>
      <c r="J236" s="14">
        <v>25.17</v>
      </c>
      <c r="K236" s="10">
        <f t="shared" si="7"/>
        <v>0.10266496735102518</v>
      </c>
    </row>
    <row r="237" spans="1:11" x14ac:dyDescent="0.4">
      <c r="A237" s="55">
        <v>43373</v>
      </c>
      <c r="B237" s="14">
        <v>185.79</v>
      </c>
      <c r="C237" s="14">
        <v>186.49</v>
      </c>
      <c r="D237" s="14">
        <v>180.44</v>
      </c>
      <c r="E237" s="14">
        <v>186.1</v>
      </c>
      <c r="F237" s="10">
        <f t="shared" si="6"/>
        <v>-4.6075542459148864E-3</v>
      </c>
      <c r="G237" s="14">
        <v>25.442499000000002</v>
      </c>
      <c r="H237" s="14">
        <v>25.625</v>
      </c>
      <c r="I237" s="14">
        <v>18.427499999999998</v>
      </c>
      <c r="J237" s="14">
        <v>20.702499</v>
      </c>
      <c r="K237" s="10">
        <f t="shared" si="7"/>
        <v>8.0229397781300758E-3</v>
      </c>
    </row>
    <row r="238" spans="1:11" x14ac:dyDescent="0.4">
      <c r="A238" s="55">
        <v>43404</v>
      </c>
      <c r="B238" s="14">
        <v>169.82</v>
      </c>
      <c r="C238" s="14">
        <v>187.53</v>
      </c>
      <c r="D238" s="14">
        <v>160.09</v>
      </c>
      <c r="E238" s="14">
        <v>186.82</v>
      </c>
      <c r="F238" s="10">
        <f t="shared" si="6"/>
        <v>-8.5957263577157009E-2</v>
      </c>
      <c r="G238" s="14">
        <v>20.805</v>
      </c>
      <c r="H238" s="14">
        <v>22.114999999999998</v>
      </c>
      <c r="I238" s="14">
        <v>17.625</v>
      </c>
      <c r="J238" s="14">
        <v>20.459999</v>
      </c>
      <c r="K238" s="10">
        <f t="shared" si="7"/>
        <v>-0.18227372240439124</v>
      </c>
    </row>
    <row r="239" spans="1:11" x14ac:dyDescent="0.4">
      <c r="A239" s="55">
        <v>43434</v>
      </c>
      <c r="B239" s="14">
        <v>169.37</v>
      </c>
      <c r="C239" s="14">
        <v>175.58</v>
      </c>
      <c r="D239" s="14">
        <v>157.13</v>
      </c>
      <c r="E239" s="14">
        <v>170.08</v>
      </c>
      <c r="F239" s="10">
        <f t="shared" si="6"/>
        <v>-2.6498645624778508E-3</v>
      </c>
      <c r="G239" s="14">
        <v>21.34</v>
      </c>
      <c r="H239" s="14">
        <v>21.385000000000002</v>
      </c>
      <c r="I239" s="14">
        <v>14.61</v>
      </c>
      <c r="J239" s="14">
        <v>16.797501</v>
      </c>
      <c r="K239" s="10">
        <f t="shared" si="7"/>
        <v>2.5714972362412887E-2</v>
      </c>
    </row>
    <row r="240" spans="1:11" x14ac:dyDescent="0.4">
      <c r="A240" s="55">
        <v>43465</v>
      </c>
      <c r="B240" s="14">
        <v>154.26</v>
      </c>
      <c r="C240" s="14">
        <v>173.31</v>
      </c>
      <c r="D240" s="14">
        <v>143.46</v>
      </c>
      <c r="E240" s="14">
        <v>173.1</v>
      </c>
      <c r="F240" s="10">
        <f t="shared" si="6"/>
        <v>-8.9212965696404398E-2</v>
      </c>
      <c r="G240" s="14">
        <v>16.084999</v>
      </c>
      <c r="H240" s="14">
        <v>19.967500999999999</v>
      </c>
      <c r="I240" s="14">
        <v>15.7425</v>
      </c>
      <c r="J240" s="14">
        <v>19.7925</v>
      </c>
      <c r="K240" s="10">
        <f t="shared" si="7"/>
        <v>-0.24625121836925962</v>
      </c>
    </row>
    <row r="241" spans="1:11" x14ac:dyDescent="0.4">
      <c r="A241" s="55">
        <v>43496</v>
      </c>
      <c r="B241" s="14">
        <v>168.16</v>
      </c>
      <c r="C241" s="14">
        <v>168.99</v>
      </c>
      <c r="D241" s="14">
        <v>149.49</v>
      </c>
      <c r="E241" s="14">
        <v>150.99</v>
      </c>
      <c r="F241" s="10">
        <f t="shared" si="6"/>
        <v>9.0107610527680584E-2</v>
      </c>
      <c r="G241" s="14">
        <v>19.594999000000001</v>
      </c>
      <c r="H241" s="14">
        <v>21.274999999999999</v>
      </c>
      <c r="I241" s="14">
        <v>19.3825</v>
      </c>
      <c r="J241" s="14">
        <v>20.905000999999999</v>
      </c>
      <c r="K241" s="10">
        <f t="shared" si="7"/>
        <v>0.21821574250641865</v>
      </c>
    </row>
    <row r="242" spans="1:11" x14ac:dyDescent="0.4">
      <c r="A242" s="55">
        <v>43524</v>
      </c>
      <c r="B242" s="14">
        <v>173.19</v>
      </c>
      <c r="C242" s="14">
        <v>174.66</v>
      </c>
      <c r="D242" s="14">
        <v>166.57</v>
      </c>
      <c r="E242" s="14">
        <v>167.37</v>
      </c>
      <c r="F242" s="10">
        <f t="shared" si="6"/>
        <v>2.9911988582302575E-2</v>
      </c>
      <c r="G242" s="14">
        <v>21.2075</v>
      </c>
      <c r="H242" s="14">
        <v>23.290001</v>
      </c>
      <c r="I242" s="14">
        <v>19.962499999999999</v>
      </c>
      <c r="J242" s="14">
        <v>22.482500000000002</v>
      </c>
      <c r="K242" s="10">
        <f t="shared" si="7"/>
        <v>8.2291456100610061E-2</v>
      </c>
    </row>
    <row r="243" spans="1:11" x14ac:dyDescent="0.4">
      <c r="A243" s="55">
        <v>43555</v>
      </c>
      <c r="B243" s="14">
        <v>179.66</v>
      </c>
      <c r="C243" s="14">
        <v>182.83</v>
      </c>
      <c r="D243" s="14">
        <v>169.34</v>
      </c>
      <c r="E243" s="14">
        <v>174.41</v>
      </c>
      <c r="F243" s="10">
        <f t="shared" si="6"/>
        <v>3.7357815116346206E-2</v>
      </c>
      <c r="G243" s="14">
        <v>22.9025</v>
      </c>
      <c r="H243" s="14">
        <v>25.3825</v>
      </c>
      <c r="I243" s="14">
        <v>22.74</v>
      </c>
      <c r="J243" s="14">
        <v>24.92</v>
      </c>
      <c r="K243" s="10">
        <f t="shared" si="7"/>
        <v>7.9924554992337637E-2</v>
      </c>
    </row>
    <row r="244" spans="1:11" x14ac:dyDescent="0.4">
      <c r="A244" s="55">
        <v>43585</v>
      </c>
      <c r="B244" s="14">
        <v>189.54</v>
      </c>
      <c r="C244" s="14">
        <v>191.32</v>
      </c>
      <c r="D244" s="14">
        <v>180.77</v>
      </c>
      <c r="E244" s="14">
        <v>181.42</v>
      </c>
      <c r="F244" s="10">
        <f t="shared" si="6"/>
        <v>5.4992764109985506E-2</v>
      </c>
      <c r="G244" s="14">
        <v>25.232500000000002</v>
      </c>
      <c r="H244" s="14">
        <v>25.377500999999999</v>
      </c>
      <c r="I244" s="14">
        <v>20.815000999999999</v>
      </c>
      <c r="J244" s="14">
        <v>20.817499000000002</v>
      </c>
      <c r="K244" s="10">
        <f t="shared" si="7"/>
        <v>0.10173561838227276</v>
      </c>
    </row>
    <row r="245" spans="1:11" x14ac:dyDescent="0.4">
      <c r="A245" s="55">
        <v>43616</v>
      </c>
      <c r="B245" s="14">
        <v>173.95</v>
      </c>
      <c r="C245" s="14">
        <v>191.32</v>
      </c>
      <c r="D245" s="14">
        <v>173.87</v>
      </c>
      <c r="E245" s="14">
        <v>190.76</v>
      </c>
      <c r="F245" s="10">
        <f t="shared" si="6"/>
        <v>-8.2251767436952644E-2</v>
      </c>
      <c r="G245" s="14">
        <v>20.727501</v>
      </c>
      <c r="H245" s="14">
        <v>24.695</v>
      </c>
      <c r="I245" s="14">
        <v>19.709999</v>
      </c>
      <c r="J245" s="14">
        <v>24.002500999999999</v>
      </c>
      <c r="K245" s="10">
        <f t="shared" si="7"/>
        <v>-0.17853954225700985</v>
      </c>
    </row>
    <row r="246" spans="1:11" x14ac:dyDescent="0.4">
      <c r="A246" s="55">
        <v>43646</v>
      </c>
      <c r="B246" s="14">
        <v>186.74</v>
      </c>
      <c r="C246" s="14">
        <v>189.77</v>
      </c>
      <c r="D246" s="14">
        <v>169.27</v>
      </c>
      <c r="E246" s="14">
        <v>173.52</v>
      </c>
      <c r="F246" s="10">
        <f t="shared" si="6"/>
        <v>7.35268755389481E-2</v>
      </c>
      <c r="G246" s="14">
        <v>24.897499</v>
      </c>
      <c r="H246" s="14">
        <v>26.200001</v>
      </c>
      <c r="I246" s="14">
        <v>24.4025</v>
      </c>
      <c r="J246" s="14">
        <v>25.037500000000001</v>
      </c>
      <c r="K246" s="10">
        <f t="shared" si="7"/>
        <v>0.2011818983870752</v>
      </c>
    </row>
    <row r="247" spans="1:11" x14ac:dyDescent="0.4">
      <c r="A247" s="55">
        <v>43677</v>
      </c>
      <c r="B247" s="14">
        <v>191.1</v>
      </c>
      <c r="C247" s="14">
        <v>195.55</v>
      </c>
      <c r="D247" s="14">
        <v>188.38</v>
      </c>
      <c r="E247" s="14">
        <v>190.3</v>
      </c>
      <c r="F247" s="10">
        <f t="shared" si="6"/>
        <v>2.3347970440184131E-2</v>
      </c>
      <c r="G247" s="14">
        <v>25.107500000000002</v>
      </c>
      <c r="H247" s="14">
        <v>26.012501</v>
      </c>
      <c r="I247" s="14">
        <v>21.927499999999998</v>
      </c>
      <c r="J247" s="14">
        <v>23.857500000000002</v>
      </c>
      <c r="K247" s="10">
        <f t="shared" si="7"/>
        <v>8.4346222887689195E-3</v>
      </c>
    </row>
    <row r="248" spans="1:11" x14ac:dyDescent="0.4">
      <c r="A248" s="55">
        <v>43708</v>
      </c>
      <c r="B248" s="14">
        <v>187.47</v>
      </c>
      <c r="C248" s="14">
        <v>194.98</v>
      </c>
      <c r="D248" s="14">
        <v>179.2</v>
      </c>
      <c r="E248" s="14">
        <v>191.51</v>
      </c>
      <c r="F248" s="10">
        <f t="shared" si="6"/>
        <v>-1.8995290423861829E-2</v>
      </c>
      <c r="G248" s="14">
        <v>23.540001</v>
      </c>
      <c r="H248" s="14">
        <v>25.674999</v>
      </c>
      <c r="I248" s="14">
        <v>23.225000000000001</v>
      </c>
      <c r="J248" s="14">
        <v>24.182500999999998</v>
      </c>
      <c r="K248" s="10">
        <f t="shared" si="7"/>
        <v>-6.2431504530518829E-2</v>
      </c>
    </row>
    <row r="249" spans="1:11" x14ac:dyDescent="0.4">
      <c r="A249" s="55">
        <v>43738</v>
      </c>
      <c r="B249" s="14">
        <v>188.81</v>
      </c>
      <c r="C249" s="14">
        <v>194.71</v>
      </c>
      <c r="D249" s="14">
        <v>185.03</v>
      </c>
      <c r="E249" s="14">
        <v>186.26</v>
      </c>
      <c r="F249" s="10">
        <f t="shared" si="6"/>
        <v>7.1478103163172954E-3</v>
      </c>
      <c r="G249" s="14">
        <v>24.360001</v>
      </c>
      <c r="H249" s="14">
        <v>26.442499000000002</v>
      </c>
      <c r="I249" s="14">
        <v>22.412500000000001</v>
      </c>
      <c r="J249" s="14">
        <v>26.2225</v>
      </c>
      <c r="K249" s="10">
        <f t="shared" si="7"/>
        <v>3.4834323074157909E-2</v>
      </c>
    </row>
    <row r="250" spans="1:11" x14ac:dyDescent="0.4">
      <c r="A250" s="55">
        <v>43769</v>
      </c>
      <c r="B250" s="14">
        <v>197.08</v>
      </c>
      <c r="C250" s="14">
        <v>197.83</v>
      </c>
      <c r="D250" s="14">
        <v>181.82</v>
      </c>
      <c r="E250" s="14">
        <v>189.54</v>
      </c>
      <c r="F250" s="10">
        <f t="shared" si="6"/>
        <v>4.3800646152216564E-2</v>
      </c>
      <c r="G250" s="14">
        <v>26.454999999999998</v>
      </c>
      <c r="H250" s="14">
        <v>28.6</v>
      </c>
      <c r="I250" s="14">
        <v>26.377500999999999</v>
      </c>
      <c r="J250" s="14">
        <v>28.33</v>
      </c>
      <c r="K250" s="10">
        <f t="shared" si="7"/>
        <v>8.6001597454778339E-2</v>
      </c>
    </row>
    <row r="251" spans="1:11" x14ac:dyDescent="0.4">
      <c r="A251" s="55">
        <v>43799</v>
      </c>
      <c r="B251" s="14">
        <v>205.1</v>
      </c>
      <c r="C251" s="14">
        <v>206.05</v>
      </c>
      <c r="D251" s="14">
        <v>197.63</v>
      </c>
      <c r="E251" s="14">
        <v>197.93</v>
      </c>
      <c r="F251" s="10">
        <f t="shared" si="6"/>
        <v>4.0694134361680442E-2</v>
      </c>
      <c r="G251" s="14">
        <v>28.337499999999999</v>
      </c>
      <c r="H251" s="14">
        <v>31.047501</v>
      </c>
      <c r="I251" s="14">
        <v>26.717500999999999</v>
      </c>
      <c r="J251" s="14">
        <v>30.4725</v>
      </c>
      <c r="K251" s="10">
        <f t="shared" si="7"/>
        <v>7.1158571158571174E-2</v>
      </c>
    </row>
    <row r="252" spans="1:11" x14ac:dyDescent="0.4">
      <c r="A252" s="55">
        <v>43830</v>
      </c>
      <c r="B252" s="14">
        <v>212.61</v>
      </c>
      <c r="C252" s="14">
        <v>214.56</v>
      </c>
      <c r="D252" s="14">
        <v>193.79</v>
      </c>
      <c r="E252" s="14">
        <v>205.11</v>
      </c>
      <c r="F252" s="10">
        <f t="shared" si="6"/>
        <v>3.6616284739151732E-2</v>
      </c>
      <c r="G252" s="14">
        <v>30.977501</v>
      </c>
      <c r="H252" s="14">
        <v>34.299999</v>
      </c>
      <c r="I252" s="14">
        <v>30.337499999999999</v>
      </c>
      <c r="J252" s="14">
        <v>32.185001</v>
      </c>
      <c r="K252" s="10">
        <f t="shared" si="7"/>
        <v>9.3162805469783921E-2</v>
      </c>
    </row>
    <row r="253" spans="1:11" x14ac:dyDescent="0.4">
      <c r="A253" s="55">
        <v>43861</v>
      </c>
      <c r="B253" s="14">
        <v>219.07</v>
      </c>
      <c r="C253" s="14">
        <v>225.88</v>
      </c>
      <c r="D253" s="14">
        <v>212.24</v>
      </c>
      <c r="E253" s="14">
        <v>214.4</v>
      </c>
      <c r="F253" s="10">
        <f t="shared" si="6"/>
        <v>3.0384271671134843E-2</v>
      </c>
      <c r="G253" s="14">
        <v>32.509998000000003</v>
      </c>
      <c r="H253" s="14">
        <v>37.759998000000003</v>
      </c>
      <c r="I253" s="14">
        <v>26.087499999999999</v>
      </c>
      <c r="J253" s="14">
        <v>28.395</v>
      </c>
      <c r="K253" s="10">
        <f t="shared" si="7"/>
        <v>4.947129208389027E-2</v>
      </c>
    </row>
    <row r="254" spans="1:11" x14ac:dyDescent="0.4">
      <c r="A254" s="55">
        <v>43890</v>
      </c>
      <c r="B254" s="14">
        <v>205.8</v>
      </c>
      <c r="C254" s="14">
        <v>237.47</v>
      </c>
      <c r="D254" s="14">
        <v>198.17</v>
      </c>
      <c r="E254" s="14">
        <v>220.14</v>
      </c>
      <c r="F254" s="10">
        <f t="shared" si="6"/>
        <v>-6.0574245674898351E-2</v>
      </c>
      <c r="G254" s="14">
        <v>28.9925</v>
      </c>
      <c r="H254" s="14">
        <v>31.982500000000002</v>
      </c>
      <c r="I254" s="14">
        <v>17.0075</v>
      </c>
      <c r="J254" s="14">
        <v>22.395</v>
      </c>
      <c r="K254" s="10">
        <f t="shared" si="7"/>
        <v>-0.108197422835892</v>
      </c>
    </row>
    <row r="255" spans="1:11" x14ac:dyDescent="0.4">
      <c r="A255" s="55">
        <v>43921</v>
      </c>
      <c r="B255" s="14">
        <v>190.4</v>
      </c>
      <c r="C255" s="14">
        <v>219.61</v>
      </c>
      <c r="D255" s="14">
        <v>164.93</v>
      </c>
      <c r="E255" s="14">
        <v>208.88</v>
      </c>
      <c r="F255" s="10">
        <f t="shared" si="6"/>
        <v>-7.4829931972789143E-2</v>
      </c>
      <c r="G255" s="14">
        <v>21.105</v>
      </c>
      <c r="H255" s="14">
        <v>29.462499999999999</v>
      </c>
      <c r="I255" s="14">
        <v>20.1875</v>
      </c>
      <c r="J255" s="14">
        <v>29.245000999999998</v>
      </c>
      <c r="K255" s="10">
        <f t="shared" si="7"/>
        <v>-0.27205311718547898</v>
      </c>
    </row>
    <row r="256" spans="1:11" x14ac:dyDescent="0.4">
      <c r="A256" s="55">
        <v>43951</v>
      </c>
      <c r="B256" s="14">
        <v>218.91</v>
      </c>
      <c r="C256" s="14">
        <v>220.04</v>
      </c>
      <c r="D256" s="14">
        <v>180.86</v>
      </c>
      <c r="E256" s="14">
        <v>184.81</v>
      </c>
      <c r="F256" s="10">
        <f t="shared" si="6"/>
        <v>0.14973739495798313</v>
      </c>
      <c r="G256" s="14">
        <v>27.985001</v>
      </c>
      <c r="H256" s="14">
        <v>33.047500999999997</v>
      </c>
      <c r="I256" s="14">
        <v>27.09</v>
      </c>
      <c r="J256" s="14">
        <v>32.8675</v>
      </c>
      <c r="K256" s="10">
        <f t="shared" si="7"/>
        <v>0.32598914949064201</v>
      </c>
    </row>
    <row r="257" spans="1:11" x14ac:dyDescent="0.4">
      <c r="A257" s="55">
        <v>43982</v>
      </c>
      <c r="B257" s="14">
        <v>233.36</v>
      </c>
      <c r="C257" s="14">
        <v>233.6</v>
      </c>
      <c r="D257" s="14">
        <v>211.12</v>
      </c>
      <c r="E257" s="14">
        <v>214.54</v>
      </c>
      <c r="F257" s="10">
        <f t="shared" si="6"/>
        <v>6.6008862089443232E-2</v>
      </c>
      <c r="G257" s="14">
        <v>32.709999000000003</v>
      </c>
      <c r="H257" s="14">
        <v>38.130001</v>
      </c>
      <c r="I257" s="14">
        <v>32.307499</v>
      </c>
      <c r="J257" s="14">
        <v>36.922500999999997</v>
      </c>
      <c r="K257" s="10">
        <f t="shared" si="7"/>
        <v>0.16884037274109809</v>
      </c>
    </row>
    <row r="258" spans="1:11" x14ac:dyDescent="0.4">
      <c r="A258" s="55">
        <v>44012</v>
      </c>
      <c r="B258" s="14">
        <v>247.6</v>
      </c>
      <c r="C258" s="14">
        <v>251.15</v>
      </c>
      <c r="D258" s="14">
        <v>231.47</v>
      </c>
      <c r="E258" s="14">
        <v>232.4</v>
      </c>
      <c r="F258" s="10">
        <f t="shared" si="6"/>
        <v>6.1021597531710575E-2</v>
      </c>
      <c r="G258" s="14">
        <v>37.009998000000003</v>
      </c>
      <c r="H258" s="14">
        <v>43.845001000000003</v>
      </c>
      <c r="I258" s="14">
        <v>36.849997999999999</v>
      </c>
      <c r="J258" s="14">
        <v>42.419998</v>
      </c>
      <c r="K258" s="10">
        <f t="shared" si="7"/>
        <v>0.13145824308952131</v>
      </c>
    </row>
    <row r="259" spans="1:11" x14ac:dyDescent="0.4">
      <c r="A259" s="55">
        <v>44043</v>
      </c>
      <c r="B259" s="14">
        <v>265.79000000000002</v>
      </c>
      <c r="C259" s="14">
        <v>269.79000000000002</v>
      </c>
      <c r="D259" s="14">
        <v>247.08</v>
      </c>
      <c r="E259" s="14">
        <v>247.66</v>
      </c>
      <c r="F259" s="10">
        <f t="shared" si="6"/>
        <v>7.346526655896618E-2</v>
      </c>
      <c r="G259" s="14">
        <v>43.137501</v>
      </c>
      <c r="H259" s="14">
        <v>52.674999</v>
      </c>
      <c r="I259" s="14">
        <v>41.987499</v>
      </c>
      <c r="J259" s="14">
        <v>52.080002</v>
      </c>
      <c r="K259" s="10">
        <f t="shared" si="7"/>
        <v>0.16556345125984598</v>
      </c>
    </row>
    <row r="260" spans="1:11" x14ac:dyDescent="0.4">
      <c r="A260" s="55">
        <v>44074</v>
      </c>
      <c r="B260" s="14">
        <v>294.88</v>
      </c>
      <c r="C260" s="14">
        <v>296.75</v>
      </c>
      <c r="D260" s="14">
        <v>264.63</v>
      </c>
      <c r="E260" s="14">
        <v>268.05</v>
      </c>
      <c r="F260" s="10">
        <f t="shared" ref="F260:F312" si="8">(B260-B259)/B259</f>
        <v>0.10944730802513251</v>
      </c>
      <c r="G260" s="14">
        <v>52.994999</v>
      </c>
      <c r="H260" s="14">
        <v>55.014999000000003</v>
      </c>
      <c r="I260" s="14">
        <v>40.189999</v>
      </c>
      <c r="J260" s="14">
        <v>45.825001</v>
      </c>
      <c r="K260" s="10">
        <f t="shared" si="7"/>
        <v>0.22851342269455988</v>
      </c>
    </row>
    <row r="261" spans="1:11" x14ac:dyDescent="0.4">
      <c r="A261" s="55">
        <v>44104</v>
      </c>
      <c r="B261" s="14">
        <v>277.83999999999997</v>
      </c>
      <c r="C261" s="14">
        <v>303.5</v>
      </c>
      <c r="D261" s="14">
        <v>260.11</v>
      </c>
      <c r="E261" s="14">
        <v>297.60000000000002</v>
      </c>
      <c r="F261" s="10">
        <f t="shared" si="8"/>
        <v>-5.7786218122626222E-2</v>
      </c>
      <c r="G261" s="14">
        <v>47.055</v>
      </c>
      <c r="H261" s="14">
        <v>52.200001</v>
      </c>
      <c r="I261" s="14">
        <v>41.904998999999997</v>
      </c>
      <c r="J261" s="14">
        <v>42.75</v>
      </c>
      <c r="K261" s="10">
        <f t="shared" ref="K261:K312" si="9">(G261-G260)/G260</f>
        <v>-0.11208602909870798</v>
      </c>
    </row>
    <row r="262" spans="1:11" x14ac:dyDescent="0.4">
      <c r="A262" s="55">
        <v>44135</v>
      </c>
      <c r="B262" s="14">
        <v>269.38</v>
      </c>
      <c r="C262" s="14">
        <v>297.45999999999998</v>
      </c>
      <c r="D262" s="14">
        <v>267.07</v>
      </c>
      <c r="E262" s="14">
        <v>281.79000000000002</v>
      </c>
      <c r="F262" s="10">
        <f t="shared" si="8"/>
        <v>-3.0449179383817953E-2</v>
      </c>
      <c r="G262" s="14">
        <v>43.400002000000001</v>
      </c>
      <c r="H262" s="14">
        <v>52.66</v>
      </c>
      <c r="I262" s="14">
        <v>41.900002000000001</v>
      </c>
      <c r="J262" s="14">
        <v>52.404998999999997</v>
      </c>
      <c r="K262" s="10">
        <f t="shared" si="9"/>
        <v>-7.7675018595260839E-2</v>
      </c>
    </row>
    <row r="263" spans="1:11" x14ac:dyDescent="0.4">
      <c r="A263" s="55">
        <v>44165</v>
      </c>
      <c r="B263" s="14">
        <v>299.62</v>
      </c>
      <c r="C263" s="14">
        <v>300.17</v>
      </c>
      <c r="D263" s="14">
        <v>266.97000000000003</v>
      </c>
      <c r="E263" s="14">
        <v>271.73</v>
      </c>
      <c r="F263" s="10">
        <f t="shared" si="8"/>
        <v>0.11225777711782615</v>
      </c>
      <c r="G263" s="14">
        <v>53.255001</v>
      </c>
      <c r="H263" s="14">
        <v>57.959999000000003</v>
      </c>
      <c r="I263" s="14">
        <v>51.880001</v>
      </c>
      <c r="J263" s="14">
        <v>57.555</v>
      </c>
      <c r="K263" s="10">
        <f t="shared" si="9"/>
        <v>0.22707369921319356</v>
      </c>
    </row>
    <row r="264" spans="1:11" x14ac:dyDescent="0.4">
      <c r="A264" s="55">
        <v>44196</v>
      </c>
      <c r="B264" s="14">
        <v>313.74</v>
      </c>
      <c r="C264" s="14">
        <v>314.69</v>
      </c>
      <c r="D264" s="14">
        <v>298.08999999999997</v>
      </c>
      <c r="E264" s="14">
        <v>301.87</v>
      </c>
      <c r="F264" s="10">
        <f t="shared" si="8"/>
        <v>4.7126360056071036E-2</v>
      </c>
      <c r="G264" s="14">
        <v>58.110000999999997</v>
      </c>
      <c r="H264" s="14">
        <v>63.604999999999997</v>
      </c>
      <c r="I264" s="14">
        <v>54.48</v>
      </c>
      <c r="J264" s="14">
        <v>57.685001</v>
      </c>
      <c r="K264" s="10">
        <f t="shared" si="9"/>
        <v>9.1165147100457228E-2</v>
      </c>
    </row>
    <row r="265" spans="1:11" x14ac:dyDescent="0.4">
      <c r="A265" s="55">
        <v>44227</v>
      </c>
      <c r="B265" s="14">
        <v>314.56</v>
      </c>
      <c r="C265" s="14">
        <v>330.32</v>
      </c>
      <c r="D265" s="14">
        <v>305.18</v>
      </c>
      <c r="E265" s="14">
        <v>315.11</v>
      </c>
      <c r="F265" s="10">
        <f t="shared" si="8"/>
        <v>2.6136291196531942E-3</v>
      </c>
      <c r="G265" s="14">
        <v>58.939999</v>
      </c>
      <c r="H265" s="14">
        <v>66.480002999999996</v>
      </c>
      <c r="I265" s="14">
        <v>56.044998</v>
      </c>
      <c r="J265" s="14">
        <v>57.27</v>
      </c>
      <c r="K265" s="10">
        <f t="shared" si="9"/>
        <v>1.4283221230713856E-2</v>
      </c>
    </row>
    <row r="266" spans="1:11" x14ac:dyDescent="0.4">
      <c r="A266" s="55">
        <v>44255</v>
      </c>
      <c r="B266" s="14">
        <v>314.14</v>
      </c>
      <c r="C266" s="14">
        <v>338.19</v>
      </c>
      <c r="D266" s="14">
        <v>310.88</v>
      </c>
      <c r="E266" s="14">
        <v>318.11</v>
      </c>
      <c r="F266" s="10">
        <f t="shared" si="8"/>
        <v>-1.3351983723296538E-3</v>
      </c>
      <c r="G266" s="14">
        <v>59.115001999999997</v>
      </c>
      <c r="H266" s="14">
        <v>60.919998</v>
      </c>
      <c r="I266" s="14">
        <v>51.200001</v>
      </c>
      <c r="J266" s="14">
        <v>58.595001000000003</v>
      </c>
      <c r="K266" s="10">
        <f t="shared" si="9"/>
        <v>2.9691720897381878E-3</v>
      </c>
    </row>
    <row r="267" spans="1:11" x14ac:dyDescent="0.4">
      <c r="A267" s="55">
        <v>44286</v>
      </c>
      <c r="B267" s="14">
        <v>319.13</v>
      </c>
      <c r="C267" s="14">
        <v>324.33</v>
      </c>
      <c r="D267" s="14">
        <v>297.45</v>
      </c>
      <c r="E267" s="14">
        <v>319.27</v>
      </c>
      <c r="F267" s="10">
        <f t="shared" si="8"/>
        <v>1.5884637422805149E-2</v>
      </c>
      <c r="G267" s="14">
        <v>60.115001999999997</v>
      </c>
      <c r="H267" s="14">
        <v>67.449996999999996</v>
      </c>
      <c r="I267" s="14">
        <v>60.009998000000003</v>
      </c>
      <c r="J267" s="14">
        <v>65.535004000000001</v>
      </c>
      <c r="K267" s="10">
        <f t="shared" si="9"/>
        <v>1.6916179754167988E-2</v>
      </c>
    </row>
    <row r="268" spans="1:11" x14ac:dyDescent="0.4">
      <c r="A268" s="55">
        <v>44316</v>
      </c>
      <c r="B268" s="14">
        <v>337.99</v>
      </c>
      <c r="C268" s="14">
        <v>342.8</v>
      </c>
      <c r="D268" s="14">
        <v>322.81</v>
      </c>
      <c r="E268" s="14">
        <v>323.07</v>
      </c>
      <c r="F268" s="10">
        <f t="shared" si="8"/>
        <v>5.9098173158274099E-2</v>
      </c>
      <c r="G268" s="14">
        <v>66.040001000000004</v>
      </c>
      <c r="H268" s="14">
        <v>66.334998999999996</v>
      </c>
      <c r="I268" s="14">
        <v>57.189999</v>
      </c>
      <c r="J268" s="14">
        <v>63.689999</v>
      </c>
      <c r="K268" s="10">
        <f t="shared" si="9"/>
        <v>9.8561071327919234E-2</v>
      </c>
    </row>
    <row r="269" spans="1:11" x14ac:dyDescent="0.4">
      <c r="A269" s="55">
        <v>44347</v>
      </c>
      <c r="B269" s="14">
        <v>333.93</v>
      </c>
      <c r="C269" s="14">
        <v>340</v>
      </c>
      <c r="D269" s="14">
        <v>316</v>
      </c>
      <c r="E269" s="14">
        <v>339.23</v>
      </c>
      <c r="F269" s="10">
        <f t="shared" si="8"/>
        <v>-1.2012189709754734E-2</v>
      </c>
      <c r="G269" s="14">
        <v>64.260002</v>
      </c>
      <c r="H269" s="14">
        <v>72.120002999999997</v>
      </c>
      <c r="I269" s="14">
        <v>61.57</v>
      </c>
      <c r="J269" s="14">
        <v>71.809997999999993</v>
      </c>
      <c r="K269" s="10">
        <f t="shared" si="9"/>
        <v>-2.695334604855629E-2</v>
      </c>
    </row>
    <row r="270" spans="1:11" x14ac:dyDescent="0.4">
      <c r="A270" s="55">
        <v>44377</v>
      </c>
      <c r="B270" s="14">
        <v>354.43</v>
      </c>
      <c r="C270" s="14">
        <v>355.23</v>
      </c>
      <c r="D270" s="14">
        <v>328.28</v>
      </c>
      <c r="E270" s="14">
        <v>335.3</v>
      </c>
      <c r="F270" s="10">
        <f t="shared" si="8"/>
        <v>6.1390111700056899E-2</v>
      </c>
      <c r="G270" s="14">
        <v>71.639999000000003</v>
      </c>
      <c r="H270" s="14">
        <v>77.639999000000003</v>
      </c>
      <c r="I270" s="14">
        <v>70.730002999999996</v>
      </c>
      <c r="J270" s="14">
        <v>75.800003000000004</v>
      </c>
      <c r="K270" s="10">
        <f t="shared" si="9"/>
        <v>0.11484588811559643</v>
      </c>
    </row>
    <row r="271" spans="1:11" x14ac:dyDescent="0.4">
      <c r="A271" s="55">
        <v>44408</v>
      </c>
      <c r="B271" s="14">
        <v>364.57</v>
      </c>
      <c r="C271" s="14">
        <v>368.89</v>
      </c>
      <c r="D271" s="14">
        <v>352.04</v>
      </c>
      <c r="E271" s="14">
        <v>354.07</v>
      </c>
      <c r="F271" s="10">
        <f t="shared" si="8"/>
        <v>2.8609316367124639E-2</v>
      </c>
      <c r="G271" s="14">
        <v>76.510002</v>
      </c>
      <c r="H271" s="14">
        <v>82.510002</v>
      </c>
      <c r="I271" s="14">
        <v>73.800003000000004</v>
      </c>
      <c r="J271" s="14">
        <v>82.160004000000001</v>
      </c>
      <c r="K271" s="10">
        <f t="shared" si="9"/>
        <v>6.7978825627845088E-2</v>
      </c>
    </row>
    <row r="272" spans="1:11" x14ac:dyDescent="0.4">
      <c r="A272" s="55">
        <v>44439</v>
      </c>
      <c r="B272" s="14">
        <v>379.95</v>
      </c>
      <c r="C272" s="14">
        <v>380.76</v>
      </c>
      <c r="D272" s="14">
        <v>359.96</v>
      </c>
      <c r="E272" s="14">
        <v>366.28</v>
      </c>
      <c r="F272" s="10">
        <f t="shared" si="8"/>
        <v>4.2186685684505024E-2</v>
      </c>
      <c r="G272" s="14">
        <v>82.639999000000003</v>
      </c>
      <c r="H272" s="14">
        <v>83.370002999999997</v>
      </c>
      <c r="I272" s="14">
        <v>72.730002999999996</v>
      </c>
      <c r="J272" s="14">
        <v>72.769997000000004</v>
      </c>
      <c r="K272" s="10">
        <f t="shared" si="9"/>
        <v>8.0120204414581023E-2</v>
      </c>
    </row>
    <row r="273" spans="1:11" x14ac:dyDescent="0.4">
      <c r="A273" s="55">
        <v>44469</v>
      </c>
      <c r="B273" s="14">
        <v>357.96</v>
      </c>
      <c r="C273" s="14">
        <v>382.78</v>
      </c>
      <c r="D273" s="14">
        <v>357.1</v>
      </c>
      <c r="E273" s="14">
        <v>381.04</v>
      </c>
      <c r="F273" s="10">
        <f t="shared" si="8"/>
        <v>-5.7876036320568522E-2</v>
      </c>
      <c r="G273" s="14">
        <v>73.089995999999999</v>
      </c>
      <c r="H273" s="14">
        <v>84.599997999999999</v>
      </c>
      <c r="I273" s="14">
        <v>69.730002999999996</v>
      </c>
      <c r="J273" s="14">
        <v>84.540001000000004</v>
      </c>
      <c r="K273" s="10">
        <f t="shared" si="9"/>
        <v>-0.1155615091428063</v>
      </c>
    </row>
    <row r="274" spans="1:11" x14ac:dyDescent="0.4">
      <c r="A274" s="55">
        <v>44500</v>
      </c>
      <c r="B274" s="14">
        <v>386.11</v>
      </c>
      <c r="C274" s="14">
        <v>386.28</v>
      </c>
      <c r="D274" s="14">
        <v>350.32</v>
      </c>
      <c r="E274" s="14">
        <v>358.6</v>
      </c>
      <c r="F274" s="10">
        <f t="shared" si="8"/>
        <v>7.8640071516370647E-2</v>
      </c>
      <c r="G274" s="14">
        <v>84.739998</v>
      </c>
      <c r="H274" s="14">
        <v>94.540001000000004</v>
      </c>
      <c r="I274" s="14">
        <v>83.790001000000004</v>
      </c>
      <c r="J274" s="14">
        <v>87.610000999999997</v>
      </c>
      <c r="K274" s="10">
        <f t="shared" si="9"/>
        <v>0.15939256584444197</v>
      </c>
    </row>
    <row r="275" spans="1:11" x14ac:dyDescent="0.4">
      <c r="A275" s="55">
        <v>44530</v>
      </c>
      <c r="B275" s="14">
        <v>393.82</v>
      </c>
      <c r="C275" s="14">
        <v>408.71</v>
      </c>
      <c r="D275" s="14">
        <v>384.42</v>
      </c>
      <c r="E275" s="14">
        <v>386.56</v>
      </c>
      <c r="F275" s="10">
        <f t="shared" si="8"/>
        <v>1.9968402786770555E-2</v>
      </c>
      <c r="G275" s="14">
        <v>89.650002000000001</v>
      </c>
      <c r="H275" s="14">
        <v>92.25</v>
      </c>
      <c r="I275" s="14">
        <v>80.330001999999993</v>
      </c>
      <c r="J275" s="14">
        <v>89.019997000000004</v>
      </c>
      <c r="K275" s="10">
        <f t="shared" si="9"/>
        <v>5.794198862265728E-2</v>
      </c>
    </row>
    <row r="276" spans="1:11" x14ac:dyDescent="0.4">
      <c r="A276" s="55">
        <v>44561</v>
      </c>
      <c r="B276" s="14">
        <v>397.85</v>
      </c>
      <c r="C276" s="14">
        <v>404.58</v>
      </c>
      <c r="D276" s="14">
        <v>377.47</v>
      </c>
      <c r="E276" s="14">
        <v>398.28</v>
      </c>
      <c r="F276" s="10">
        <f t="shared" si="8"/>
        <v>1.023310141689104E-2</v>
      </c>
      <c r="G276" s="14">
        <v>89.650002000000001</v>
      </c>
      <c r="H276" s="14">
        <v>91.099997999999999</v>
      </c>
      <c r="I276" s="14">
        <v>62.369999</v>
      </c>
      <c r="J276" s="14">
        <v>73.709998999999996</v>
      </c>
      <c r="K276" s="10">
        <f t="shared" si="9"/>
        <v>0</v>
      </c>
    </row>
    <row r="277" spans="1:11" x14ac:dyDescent="0.4">
      <c r="A277" s="55">
        <v>44592</v>
      </c>
      <c r="B277" s="14">
        <v>363.05</v>
      </c>
      <c r="C277" s="14">
        <v>402.28</v>
      </c>
      <c r="D277" s="14">
        <v>334.15</v>
      </c>
      <c r="E277" s="14">
        <v>399.05</v>
      </c>
      <c r="F277" s="10">
        <f t="shared" si="8"/>
        <v>-8.7470152067362097E-2</v>
      </c>
      <c r="G277" s="14">
        <v>74.139999000000003</v>
      </c>
      <c r="H277" s="14">
        <v>76.449996999999996</v>
      </c>
      <c r="I277" s="14">
        <v>56.119999</v>
      </c>
      <c r="J277" s="14">
        <v>66.669998000000007</v>
      </c>
      <c r="K277" s="10">
        <f t="shared" si="9"/>
        <v>-0.17300616457320322</v>
      </c>
    </row>
    <row r="278" spans="1:11" x14ac:dyDescent="0.4">
      <c r="A278" s="55">
        <v>44620</v>
      </c>
      <c r="B278" s="14">
        <v>346.8</v>
      </c>
      <c r="C278" s="14">
        <v>370.1</v>
      </c>
      <c r="D278" s="14">
        <v>318.26</v>
      </c>
      <c r="E278" s="14">
        <v>364.43</v>
      </c>
      <c r="F278" s="10">
        <f t="shared" si="8"/>
        <v>-4.4759674975898632E-2</v>
      </c>
      <c r="G278" s="14">
        <v>66.120002999999997</v>
      </c>
      <c r="H278" s="14">
        <v>75.860000999999997</v>
      </c>
      <c r="I278" s="14">
        <v>55.43</v>
      </c>
      <c r="J278" s="14">
        <v>71.919998000000007</v>
      </c>
      <c r="K278" s="10">
        <f t="shared" si="9"/>
        <v>-0.10817367289147126</v>
      </c>
    </row>
    <row r="279" spans="1:11" x14ac:dyDescent="0.4">
      <c r="A279" s="55">
        <v>44651</v>
      </c>
      <c r="B279" s="14">
        <v>362.54</v>
      </c>
      <c r="C279" s="14">
        <v>371.83</v>
      </c>
      <c r="D279" s="14">
        <v>317.45</v>
      </c>
      <c r="E279" s="14">
        <v>345.75</v>
      </c>
      <c r="F279" s="10">
        <f t="shared" si="8"/>
        <v>4.5386389850057697E-2</v>
      </c>
      <c r="G279" s="14">
        <v>72.220000999999996</v>
      </c>
      <c r="H279" s="14">
        <v>74.769997000000004</v>
      </c>
      <c r="I279" s="14">
        <v>53.009998000000003</v>
      </c>
      <c r="J279" s="14">
        <v>53.200001</v>
      </c>
      <c r="K279" s="10">
        <f t="shared" si="9"/>
        <v>9.2256468893384652E-2</v>
      </c>
    </row>
    <row r="280" spans="1:11" x14ac:dyDescent="0.4">
      <c r="A280" s="55">
        <v>44681</v>
      </c>
      <c r="B280" s="14">
        <v>313.25</v>
      </c>
      <c r="C280" s="14">
        <v>369.31</v>
      </c>
      <c r="D280" s="14">
        <v>312.60000000000002</v>
      </c>
      <c r="E280" s="14">
        <v>362.81</v>
      </c>
      <c r="F280" s="10">
        <f t="shared" si="8"/>
        <v>-0.13595741159596186</v>
      </c>
      <c r="G280" s="14">
        <v>53.060001</v>
      </c>
      <c r="H280" s="14">
        <v>59.060001</v>
      </c>
      <c r="I280" s="14">
        <v>41.959999000000003</v>
      </c>
      <c r="J280" s="14">
        <v>50.669998</v>
      </c>
      <c r="K280" s="10">
        <f t="shared" si="9"/>
        <v>-0.26530046711021227</v>
      </c>
    </row>
    <row r="281" spans="1:11" x14ac:dyDescent="0.4">
      <c r="A281" s="55">
        <v>44712</v>
      </c>
      <c r="B281" s="14">
        <v>308.27999999999997</v>
      </c>
      <c r="C281" s="14">
        <v>330.29</v>
      </c>
      <c r="D281" s="14">
        <v>280.20999999999998</v>
      </c>
      <c r="E281" s="14">
        <v>312.83</v>
      </c>
      <c r="F281" s="10">
        <f t="shared" si="8"/>
        <v>-1.5865921787709583E-2</v>
      </c>
      <c r="G281" s="14">
        <v>51.41</v>
      </c>
      <c r="H281" s="14">
        <v>52.700001</v>
      </c>
      <c r="I281" s="14">
        <v>38.240001999999997</v>
      </c>
      <c r="J281" s="14">
        <v>41.41</v>
      </c>
      <c r="K281" s="10">
        <f t="shared" si="9"/>
        <v>-3.109688972678314E-2</v>
      </c>
    </row>
    <row r="282" spans="1:11" x14ac:dyDescent="0.4">
      <c r="A282" s="55">
        <v>44742</v>
      </c>
      <c r="B282" s="14">
        <v>280.27999999999997</v>
      </c>
      <c r="C282" s="14">
        <v>314.56</v>
      </c>
      <c r="D282" s="14">
        <v>269.27999999999997</v>
      </c>
      <c r="E282" s="14">
        <v>310.47000000000003</v>
      </c>
      <c r="F282" s="10">
        <f t="shared" si="8"/>
        <v>-9.0826521344232525E-2</v>
      </c>
      <c r="G282" s="14">
        <v>40.98</v>
      </c>
      <c r="H282" s="14">
        <v>52.299999</v>
      </c>
      <c r="I282" s="14">
        <v>40.340000000000003</v>
      </c>
      <c r="J282" s="14">
        <v>52.02</v>
      </c>
      <c r="K282" s="10">
        <f t="shared" si="9"/>
        <v>-0.20287881735070998</v>
      </c>
    </row>
    <row r="283" spans="1:11" x14ac:dyDescent="0.4">
      <c r="A283" s="55">
        <v>44773</v>
      </c>
      <c r="B283" s="14">
        <v>315.45999999999998</v>
      </c>
      <c r="C283" s="14">
        <v>316.39</v>
      </c>
      <c r="D283" s="14">
        <v>276.75</v>
      </c>
      <c r="E283" s="14">
        <v>278.95</v>
      </c>
      <c r="F283" s="10">
        <f t="shared" si="8"/>
        <v>0.12551733980305413</v>
      </c>
      <c r="G283" s="14">
        <v>51.419998</v>
      </c>
      <c r="H283" s="14">
        <v>58.220001000000003</v>
      </c>
      <c r="I283" s="14">
        <v>46.099997999999999</v>
      </c>
      <c r="J283" s="14">
        <v>46.369999</v>
      </c>
      <c r="K283" s="10">
        <f t="shared" si="9"/>
        <v>0.25475836993655449</v>
      </c>
    </row>
    <row r="284" spans="1:11" x14ac:dyDescent="0.4">
      <c r="A284" s="55">
        <v>44804</v>
      </c>
      <c r="B284" s="14">
        <v>299.27</v>
      </c>
      <c r="C284" s="14">
        <v>334.42</v>
      </c>
      <c r="D284" s="14">
        <v>298.44</v>
      </c>
      <c r="E284" s="14">
        <v>313.64999999999998</v>
      </c>
      <c r="F284" s="10">
        <f t="shared" si="8"/>
        <v>-5.1321879160590882E-2</v>
      </c>
      <c r="G284" s="14">
        <v>45.549999</v>
      </c>
      <c r="H284" s="14">
        <v>49.959999000000003</v>
      </c>
      <c r="I284" s="14">
        <v>36.630001</v>
      </c>
      <c r="J284" s="14">
        <v>36.659999999999997</v>
      </c>
      <c r="K284" s="10">
        <f t="shared" si="9"/>
        <v>-0.11415790020061845</v>
      </c>
    </row>
    <row r="285" spans="1:11" x14ac:dyDescent="0.4">
      <c r="A285" s="55">
        <v>44834</v>
      </c>
      <c r="B285" s="14">
        <v>267.26</v>
      </c>
      <c r="C285" s="14">
        <v>311.08</v>
      </c>
      <c r="D285" s="14">
        <v>267.10000000000002</v>
      </c>
      <c r="E285" s="14">
        <v>296.72000000000003</v>
      </c>
      <c r="F285" s="10">
        <f t="shared" si="8"/>
        <v>-0.10696026999030973</v>
      </c>
      <c r="G285" s="14">
        <v>37.139999000000003</v>
      </c>
      <c r="H285" s="14">
        <v>41.349997999999999</v>
      </c>
      <c r="I285" s="14">
        <v>32.979999999999997</v>
      </c>
      <c r="J285" s="14">
        <v>39.080002</v>
      </c>
      <c r="K285" s="10">
        <f t="shared" si="9"/>
        <v>-0.18463227628171838</v>
      </c>
    </row>
    <row r="286" spans="1:11" x14ac:dyDescent="0.4">
      <c r="A286" s="55">
        <v>44865</v>
      </c>
      <c r="B286" s="14">
        <v>277.95</v>
      </c>
      <c r="C286" s="14">
        <v>284.60000000000002</v>
      </c>
      <c r="D286" s="14">
        <v>254.26</v>
      </c>
      <c r="E286" s="14">
        <v>269.07</v>
      </c>
      <c r="F286" s="10">
        <f t="shared" si="8"/>
        <v>3.9998503330090543E-2</v>
      </c>
      <c r="G286" s="14">
        <v>40.110000999999997</v>
      </c>
      <c r="H286" s="14">
        <v>43.049999</v>
      </c>
      <c r="I286" s="14">
        <v>33.900002000000001</v>
      </c>
      <c r="J286" s="14">
        <v>42.900002000000001</v>
      </c>
      <c r="K286" s="10">
        <f t="shared" si="9"/>
        <v>7.9967745825733419E-2</v>
      </c>
    </row>
    <row r="287" spans="1:11" x14ac:dyDescent="0.4">
      <c r="A287" s="55">
        <v>44895</v>
      </c>
      <c r="B287" s="14">
        <v>293.36</v>
      </c>
      <c r="C287" s="14">
        <v>293.47000000000003</v>
      </c>
      <c r="D287" s="14">
        <v>259.08</v>
      </c>
      <c r="E287" s="14">
        <v>281.5</v>
      </c>
      <c r="F287" s="10">
        <f t="shared" si="8"/>
        <v>5.5441626191761198E-2</v>
      </c>
      <c r="G287" s="14">
        <v>42.970001000000003</v>
      </c>
      <c r="H287" s="14">
        <v>43.720001000000003</v>
      </c>
      <c r="I287" s="14">
        <v>33.380001</v>
      </c>
      <c r="J287" s="14">
        <v>35.040000999999997</v>
      </c>
      <c r="K287" s="10">
        <f t="shared" si="9"/>
        <v>7.1303912458142465E-2</v>
      </c>
    </row>
    <row r="288" spans="1:11" x14ac:dyDescent="0.4">
      <c r="A288" s="55">
        <v>44926</v>
      </c>
      <c r="B288" s="14">
        <v>266.27999999999997</v>
      </c>
      <c r="C288" s="14">
        <v>296.88</v>
      </c>
      <c r="D288" s="14">
        <v>259.73</v>
      </c>
      <c r="E288" s="14">
        <v>293.69</v>
      </c>
      <c r="F288" s="10">
        <f t="shared" si="8"/>
        <v>-9.2309790019089302E-2</v>
      </c>
      <c r="G288" s="14">
        <v>35.639999000000003</v>
      </c>
      <c r="H288" s="14">
        <v>43.560001</v>
      </c>
      <c r="I288" s="14">
        <v>33.419998</v>
      </c>
      <c r="J288" s="14">
        <v>42.470001000000003</v>
      </c>
      <c r="K288" s="10">
        <f t="shared" si="9"/>
        <v>-0.17058417103597459</v>
      </c>
    </row>
    <row r="289" spans="1:11" x14ac:dyDescent="0.4">
      <c r="A289" s="55">
        <v>44957</v>
      </c>
      <c r="B289" s="14">
        <v>294.62</v>
      </c>
      <c r="C289" s="14">
        <v>298.26</v>
      </c>
      <c r="D289" s="14">
        <v>260.33999999999997</v>
      </c>
      <c r="E289" s="14">
        <v>268.64999999999998</v>
      </c>
      <c r="F289" s="10">
        <f t="shared" si="8"/>
        <v>0.10642932251765072</v>
      </c>
      <c r="G289" s="14">
        <v>42.400002000000001</v>
      </c>
      <c r="H289" s="14">
        <v>48.009998000000003</v>
      </c>
      <c r="I289" s="14">
        <v>40.75</v>
      </c>
      <c r="J289" s="14">
        <v>41.73</v>
      </c>
      <c r="K289" s="10">
        <f t="shared" si="9"/>
        <v>0.18967461250489925</v>
      </c>
    </row>
    <row r="290" spans="1:11" x14ac:dyDescent="0.4">
      <c r="A290" s="55">
        <v>44985</v>
      </c>
      <c r="B290" s="14">
        <v>293.56</v>
      </c>
      <c r="C290" s="14">
        <v>313.68</v>
      </c>
      <c r="D290" s="14">
        <v>290.05</v>
      </c>
      <c r="E290" s="14">
        <v>294.41000000000003</v>
      </c>
      <c r="F290" s="10">
        <f t="shared" si="8"/>
        <v>-3.5978548638924794E-3</v>
      </c>
      <c r="G290" s="14">
        <v>41.639999000000003</v>
      </c>
      <c r="H290" s="14">
        <v>49.630001</v>
      </c>
      <c r="I290" s="14">
        <v>39.240001999999997</v>
      </c>
      <c r="J290" s="14">
        <v>49.57</v>
      </c>
      <c r="K290" s="10">
        <f t="shared" si="9"/>
        <v>-1.7924598211103801E-2</v>
      </c>
    </row>
    <row r="291" spans="1:11" x14ac:dyDescent="0.4">
      <c r="A291" s="55">
        <v>45016</v>
      </c>
      <c r="B291" s="14">
        <v>320.93</v>
      </c>
      <c r="C291" s="14">
        <v>321.17</v>
      </c>
      <c r="D291" s="14">
        <v>285.19</v>
      </c>
      <c r="E291" s="14">
        <v>293.26</v>
      </c>
      <c r="F291" s="10">
        <f t="shared" si="8"/>
        <v>9.3234773129854218E-2</v>
      </c>
      <c r="G291" s="14">
        <v>48.889999000000003</v>
      </c>
      <c r="H291" s="14">
        <v>49.759998000000003</v>
      </c>
      <c r="I291" s="14">
        <v>45.98</v>
      </c>
      <c r="J291" s="14">
        <v>49.740001999999997</v>
      </c>
      <c r="K291" s="10">
        <f t="shared" si="9"/>
        <v>0.17411143549739277</v>
      </c>
    </row>
    <row r="292" spans="1:11" x14ac:dyDescent="0.4">
      <c r="A292" s="55">
        <v>45046</v>
      </c>
      <c r="B292" s="14">
        <v>322.56</v>
      </c>
      <c r="C292" s="14">
        <v>322.64999999999998</v>
      </c>
      <c r="D292" s="14">
        <v>309.89</v>
      </c>
      <c r="E292" s="14">
        <v>318.77</v>
      </c>
      <c r="F292" s="10">
        <f t="shared" si="8"/>
        <v>5.07898918767331E-3</v>
      </c>
      <c r="G292" s="14">
        <v>49.599997999999999</v>
      </c>
      <c r="H292" s="14">
        <v>59.389999000000003</v>
      </c>
      <c r="I292" s="14">
        <v>47.41</v>
      </c>
      <c r="J292" s="14">
        <v>57.32</v>
      </c>
      <c r="K292" s="10">
        <f t="shared" si="9"/>
        <v>1.4522377061206244E-2</v>
      </c>
    </row>
    <row r="293" spans="1:11" x14ac:dyDescent="0.4">
      <c r="A293" s="55">
        <v>45077</v>
      </c>
      <c r="B293" s="14">
        <v>347.99</v>
      </c>
      <c r="C293" s="14">
        <v>353.93</v>
      </c>
      <c r="D293" s="14">
        <v>315.12</v>
      </c>
      <c r="E293" s="14">
        <v>322.08999999999997</v>
      </c>
      <c r="F293" s="10">
        <f t="shared" si="8"/>
        <v>7.8838045634920653E-2</v>
      </c>
      <c r="G293" s="14">
        <v>57.290000999999997</v>
      </c>
      <c r="H293" s="14">
        <v>65.620002999999997</v>
      </c>
      <c r="I293" s="14">
        <v>56.950001</v>
      </c>
      <c r="J293" s="14">
        <v>64.379997000000003</v>
      </c>
      <c r="K293" s="10">
        <f t="shared" si="9"/>
        <v>0.15504038931614467</v>
      </c>
    </row>
    <row r="294" spans="1:11" x14ac:dyDescent="0.4">
      <c r="A294" s="55">
        <v>45107</v>
      </c>
      <c r="B294" s="14">
        <v>369.42</v>
      </c>
      <c r="C294" s="14">
        <v>372.85</v>
      </c>
      <c r="D294" s="14">
        <v>346.66</v>
      </c>
      <c r="E294" s="14">
        <v>347.73</v>
      </c>
      <c r="F294" s="10">
        <f t="shared" si="8"/>
        <v>6.1582229374407327E-2</v>
      </c>
      <c r="G294" s="14">
        <v>64.580001999999993</v>
      </c>
      <c r="H294" s="14">
        <v>70.739998</v>
      </c>
      <c r="I294" s="14">
        <v>62.200001</v>
      </c>
      <c r="J294" s="14">
        <v>69.029999000000004</v>
      </c>
      <c r="K294" s="10">
        <f t="shared" si="9"/>
        <v>0.12724735333832507</v>
      </c>
    </row>
    <row r="295" spans="1:11" x14ac:dyDescent="0.4">
      <c r="A295" s="55">
        <v>45138</v>
      </c>
      <c r="B295" s="14">
        <v>383.68</v>
      </c>
      <c r="C295" s="14">
        <v>387.98</v>
      </c>
      <c r="D295" s="14">
        <v>363.41</v>
      </c>
      <c r="E295" s="14">
        <v>370.07</v>
      </c>
      <c r="F295" s="10">
        <f t="shared" si="8"/>
        <v>3.8601050295057088E-2</v>
      </c>
      <c r="G295" s="14">
        <v>68.470000999999996</v>
      </c>
      <c r="H295" s="14">
        <v>68.900002000000001</v>
      </c>
      <c r="I295" s="14">
        <v>58.639999000000003</v>
      </c>
      <c r="J295" s="14">
        <v>66.279999000000004</v>
      </c>
      <c r="K295" s="10">
        <f t="shared" si="9"/>
        <v>6.0235349636564017E-2</v>
      </c>
    </row>
    <row r="296" spans="1:11" x14ac:dyDescent="0.4">
      <c r="A296" s="55">
        <v>45169</v>
      </c>
      <c r="B296" s="14">
        <v>377.99</v>
      </c>
      <c r="C296" s="14">
        <v>383.56</v>
      </c>
      <c r="D296" s="14">
        <v>354.71</v>
      </c>
      <c r="E296" s="14">
        <v>382.31</v>
      </c>
      <c r="F296" s="10">
        <f t="shared" si="8"/>
        <v>-1.4830066722268552E-2</v>
      </c>
      <c r="G296" s="14">
        <v>67.169998000000007</v>
      </c>
      <c r="H296" s="14">
        <v>67.290001000000004</v>
      </c>
      <c r="I296" s="14">
        <v>57.099997999999999</v>
      </c>
      <c r="J296" s="14">
        <v>59.349997999999999</v>
      </c>
      <c r="K296" s="10">
        <f t="shared" si="9"/>
        <v>-1.8986460946597471E-2</v>
      </c>
    </row>
    <row r="297" spans="1:11" x14ac:dyDescent="0.4">
      <c r="A297" s="55">
        <v>45199</v>
      </c>
      <c r="B297" s="14">
        <v>358.27</v>
      </c>
      <c r="C297" s="14">
        <v>380.83</v>
      </c>
      <c r="D297" s="14">
        <v>351.36</v>
      </c>
      <c r="E297" s="14">
        <v>380.4</v>
      </c>
      <c r="F297" s="10">
        <f t="shared" si="8"/>
        <v>-5.217069234635844E-2</v>
      </c>
      <c r="G297" s="14">
        <v>59.389999000000003</v>
      </c>
      <c r="H297" s="14">
        <v>64.260002</v>
      </c>
      <c r="I297" s="14">
        <v>53.720001000000003</v>
      </c>
      <c r="J297" s="14">
        <v>56.419998</v>
      </c>
      <c r="K297" s="10">
        <f t="shared" si="9"/>
        <v>-0.11582550590518111</v>
      </c>
    </row>
    <row r="298" spans="1:11" x14ac:dyDescent="0.4">
      <c r="A298" s="55">
        <v>45230</v>
      </c>
      <c r="B298" s="14">
        <v>350.87</v>
      </c>
      <c r="C298" s="14">
        <v>373.74</v>
      </c>
      <c r="D298" s="14">
        <v>342.35</v>
      </c>
      <c r="E298" s="14">
        <v>358.54</v>
      </c>
      <c r="F298" s="10">
        <f t="shared" si="8"/>
        <v>-2.0654813408881506E-2</v>
      </c>
      <c r="G298" s="14">
        <v>56.66</v>
      </c>
      <c r="H298" s="14">
        <v>70.629997000000003</v>
      </c>
      <c r="I298" s="14">
        <v>56.639999000000003</v>
      </c>
      <c r="J298" s="14">
        <v>68.709998999999996</v>
      </c>
      <c r="K298" s="10">
        <f t="shared" si="9"/>
        <v>-4.5967318504248608E-2</v>
      </c>
    </row>
    <row r="299" spans="1:11" x14ac:dyDescent="0.4">
      <c r="A299" s="55">
        <v>45260</v>
      </c>
      <c r="B299" s="14">
        <v>388.83</v>
      </c>
      <c r="C299" s="14">
        <v>394.14</v>
      </c>
      <c r="D299" s="14">
        <v>351.62</v>
      </c>
      <c r="E299" s="14">
        <v>351.72</v>
      </c>
      <c r="F299" s="10">
        <f t="shared" si="8"/>
        <v>0.10818821785846604</v>
      </c>
      <c r="G299" s="14">
        <v>68.300003000000004</v>
      </c>
      <c r="H299" s="14">
        <v>77.290001000000004</v>
      </c>
      <c r="I299" s="14">
        <v>66.489998</v>
      </c>
      <c r="J299" s="14">
        <v>76</v>
      </c>
      <c r="K299" s="10">
        <f t="shared" si="9"/>
        <v>0.2054359865866574</v>
      </c>
    </row>
    <row r="300" spans="1:11" x14ac:dyDescent="0.4">
      <c r="A300" s="55">
        <v>45291</v>
      </c>
      <c r="B300" s="14">
        <v>409.52</v>
      </c>
      <c r="C300" s="14">
        <v>412.92</v>
      </c>
      <c r="D300" s="14">
        <v>382.66</v>
      </c>
      <c r="E300" s="14">
        <v>387.75</v>
      </c>
      <c r="F300" s="10">
        <f t="shared" si="8"/>
        <v>5.3210914795669056E-2</v>
      </c>
      <c r="G300" s="14">
        <v>74.64</v>
      </c>
      <c r="H300" s="14">
        <v>83.25</v>
      </c>
      <c r="I300" s="14">
        <v>70.739998</v>
      </c>
      <c r="J300" s="14">
        <v>78.2</v>
      </c>
      <c r="K300" s="10">
        <f t="shared" si="9"/>
        <v>9.2825720666512943E-2</v>
      </c>
    </row>
    <row r="301" spans="1:11" x14ac:dyDescent="0.4">
      <c r="A301" s="55">
        <v>45322</v>
      </c>
      <c r="B301" s="14">
        <v>416.97</v>
      </c>
      <c r="C301" s="14">
        <v>429.85</v>
      </c>
      <c r="D301" s="14">
        <v>395.34</v>
      </c>
      <c r="E301" s="14">
        <v>405.84</v>
      </c>
      <c r="F301" s="10">
        <f t="shared" si="8"/>
        <v>1.8192029693299583E-2</v>
      </c>
      <c r="G301" s="14">
        <v>78.84</v>
      </c>
      <c r="H301" s="14">
        <v>86.73</v>
      </c>
      <c r="I301" s="14">
        <v>78.48</v>
      </c>
      <c r="J301" s="14">
        <v>86.04</v>
      </c>
      <c r="K301" s="10">
        <f t="shared" si="9"/>
        <v>5.6270096463022543E-2</v>
      </c>
    </row>
    <row r="302" spans="1:11" x14ac:dyDescent="0.4">
      <c r="A302" s="55">
        <v>45351</v>
      </c>
      <c r="B302" s="14">
        <v>439</v>
      </c>
      <c r="C302" s="14">
        <v>440.59</v>
      </c>
      <c r="D302" s="14">
        <v>417.81</v>
      </c>
      <c r="E302" s="14">
        <v>418.79</v>
      </c>
      <c r="F302" s="10">
        <f t="shared" si="8"/>
        <v>5.2833537184929301E-2</v>
      </c>
      <c r="G302" s="14">
        <v>86.34</v>
      </c>
      <c r="H302" s="14">
        <v>89.74</v>
      </c>
      <c r="I302" s="14">
        <v>83.2</v>
      </c>
      <c r="J302" s="14">
        <v>87.48</v>
      </c>
      <c r="K302" s="10">
        <f t="shared" si="9"/>
        <v>9.5129375951293754E-2</v>
      </c>
    </row>
    <row r="303" spans="1:11" x14ac:dyDescent="0.4">
      <c r="A303" s="55">
        <v>45382</v>
      </c>
      <c r="B303" s="14">
        <v>444.01</v>
      </c>
      <c r="C303" s="14">
        <v>449.34</v>
      </c>
      <c r="D303" s="14">
        <v>432.74</v>
      </c>
      <c r="E303" s="14">
        <v>439.9</v>
      </c>
      <c r="F303" s="10">
        <f t="shared" si="8"/>
        <v>1.1412300683371278E-2</v>
      </c>
      <c r="G303" s="14">
        <v>87.85</v>
      </c>
      <c r="H303" s="14">
        <v>88.89</v>
      </c>
      <c r="I303" s="14">
        <v>75.28</v>
      </c>
      <c r="J303" s="14">
        <v>79.319999999999993</v>
      </c>
      <c r="K303" s="10">
        <f t="shared" si="9"/>
        <v>1.7488996988649419E-2</v>
      </c>
    </row>
    <row r="304" spans="1:11" x14ac:dyDescent="0.4">
      <c r="A304" s="55">
        <v>45412</v>
      </c>
      <c r="B304" s="14">
        <v>424.59</v>
      </c>
      <c r="C304" s="14">
        <v>447.53</v>
      </c>
      <c r="D304" s="14">
        <v>413.07</v>
      </c>
      <c r="E304" s="14">
        <v>444.97</v>
      </c>
      <c r="F304" s="10">
        <f t="shared" si="8"/>
        <v>-4.3737753654197013E-2</v>
      </c>
      <c r="G304" s="14">
        <v>78.75</v>
      </c>
      <c r="H304" s="14">
        <v>92.81</v>
      </c>
      <c r="I304" s="14">
        <v>77.790000000000006</v>
      </c>
      <c r="J304" s="14">
        <v>89.12</v>
      </c>
      <c r="K304" s="10">
        <f t="shared" si="9"/>
        <v>-0.10358565737051786</v>
      </c>
    </row>
    <row r="305" spans="1:11" x14ac:dyDescent="0.4">
      <c r="A305" s="55">
        <v>45443</v>
      </c>
      <c r="B305" s="14">
        <v>450.71</v>
      </c>
      <c r="C305" s="14">
        <v>460.58</v>
      </c>
      <c r="D305" s="14">
        <v>420.63</v>
      </c>
      <c r="E305" s="14">
        <v>423.15</v>
      </c>
      <c r="F305" s="10">
        <f t="shared" si="8"/>
        <v>6.15181704703361E-2</v>
      </c>
      <c r="G305" s="14">
        <v>90.24</v>
      </c>
      <c r="H305" s="14">
        <v>103.26</v>
      </c>
      <c r="I305" s="14">
        <v>87.62</v>
      </c>
      <c r="J305" s="14">
        <v>99.81</v>
      </c>
      <c r="K305" s="10">
        <f t="shared" si="9"/>
        <v>0.14590476190476184</v>
      </c>
    </row>
    <row r="306" spans="1:11" x14ac:dyDescent="0.4">
      <c r="A306" s="55">
        <v>45473</v>
      </c>
      <c r="B306" s="14">
        <v>479.11</v>
      </c>
      <c r="C306" s="14">
        <v>487.2</v>
      </c>
      <c r="D306" s="14">
        <v>447.9</v>
      </c>
      <c r="E306" s="14">
        <v>454.57</v>
      </c>
      <c r="F306" s="10">
        <f t="shared" si="8"/>
        <v>6.3011692662687843E-2</v>
      </c>
      <c r="G306" s="14">
        <v>100.23</v>
      </c>
      <c r="H306" s="14">
        <v>110.04</v>
      </c>
      <c r="I306" s="14">
        <v>88.85</v>
      </c>
      <c r="J306" s="14">
        <v>95.51</v>
      </c>
      <c r="K306" s="10">
        <f t="shared" si="9"/>
        <v>0.11070478723404266</v>
      </c>
    </row>
    <row r="307" spans="1:11" x14ac:dyDescent="0.4">
      <c r="A307" s="55">
        <v>45504</v>
      </c>
      <c r="B307" s="14">
        <v>471.07</v>
      </c>
      <c r="C307" s="14">
        <v>503.52</v>
      </c>
      <c r="D307" s="14">
        <v>454.15</v>
      </c>
      <c r="E307" s="14">
        <v>480.04</v>
      </c>
      <c r="F307" s="10">
        <f t="shared" si="8"/>
        <v>-1.6781114984032938E-2</v>
      </c>
      <c r="G307" s="14">
        <v>95.76</v>
      </c>
      <c r="H307" s="14">
        <v>100.57</v>
      </c>
      <c r="I307" s="14">
        <v>76.760000000000005</v>
      </c>
      <c r="J307" s="14">
        <v>96.55</v>
      </c>
      <c r="K307" s="10">
        <f t="shared" si="9"/>
        <v>-4.4597425920383106E-2</v>
      </c>
    </row>
    <row r="308" spans="1:11" x14ac:dyDescent="0.4">
      <c r="A308" s="55">
        <v>45535</v>
      </c>
      <c r="B308" s="14">
        <v>476.27</v>
      </c>
      <c r="C308" s="14">
        <v>485.54</v>
      </c>
      <c r="D308" s="14">
        <v>423.45</v>
      </c>
      <c r="E308" s="14">
        <v>471.76</v>
      </c>
      <c r="F308" s="10">
        <f t="shared" si="8"/>
        <v>1.1038699131763833E-2</v>
      </c>
      <c r="G308" s="14">
        <v>95.22</v>
      </c>
      <c r="H308" s="14">
        <v>103.11</v>
      </c>
      <c r="I308" s="14">
        <v>85.2</v>
      </c>
      <c r="J308" s="14">
        <v>100.7</v>
      </c>
      <c r="K308" s="10">
        <f t="shared" si="9"/>
        <v>-5.639097744360967E-3</v>
      </c>
    </row>
    <row r="309" spans="1:11" x14ac:dyDescent="0.4">
      <c r="A309" s="55">
        <v>45565</v>
      </c>
      <c r="B309" s="14">
        <v>488.07</v>
      </c>
      <c r="C309" s="14">
        <v>493.7</v>
      </c>
      <c r="D309" s="14">
        <v>448.19</v>
      </c>
      <c r="E309" s="14">
        <v>473.2</v>
      </c>
      <c r="F309" s="10">
        <f t="shared" si="8"/>
        <v>2.4775862430974051E-2</v>
      </c>
      <c r="G309" s="14">
        <v>100.55</v>
      </c>
      <c r="H309" s="14">
        <v>105.59</v>
      </c>
      <c r="I309" s="14">
        <v>96.31</v>
      </c>
      <c r="J309" s="14">
        <v>98.28</v>
      </c>
      <c r="K309" s="10">
        <f t="shared" si="9"/>
        <v>5.5975635370720422E-2</v>
      </c>
    </row>
    <row r="310" spans="1:11" x14ac:dyDescent="0.4">
      <c r="A310" s="55">
        <v>45596</v>
      </c>
      <c r="B310" s="14">
        <v>483.85</v>
      </c>
      <c r="C310" s="14">
        <v>501.35</v>
      </c>
      <c r="D310" s="14">
        <v>477.4</v>
      </c>
      <c r="E310" s="14">
        <v>487.7</v>
      </c>
      <c r="F310" s="10">
        <f t="shared" si="8"/>
        <v>-8.6463007355501685E-3</v>
      </c>
      <c r="G310" s="14">
        <v>98.84</v>
      </c>
      <c r="H310" s="14">
        <v>111.2</v>
      </c>
      <c r="I310" s="14">
        <v>98.35</v>
      </c>
      <c r="J310" s="14">
        <v>108.21</v>
      </c>
      <c r="K310" s="10">
        <f t="shared" si="9"/>
        <v>-1.7006464445549416E-2</v>
      </c>
    </row>
    <row r="311" spans="1:11" x14ac:dyDescent="0.4">
      <c r="A311" s="55">
        <v>45626</v>
      </c>
      <c r="B311" s="14">
        <v>509.74</v>
      </c>
      <c r="C311" s="14">
        <v>515.58000000000004</v>
      </c>
      <c r="D311" s="14">
        <v>484.25</v>
      </c>
      <c r="E311" s="14">
        <v>485.5</v>
      </c>
      <c r="F311" s="10">
        <f t="shared" si="8"/>
        <v>5.3508318693810036E-2</v>
      </c>
      <c r="G311" s="14">
        <v>108.77</v>
      </c>
      <c r="H311" s="14">
        <v>115.41</v>
      </c>
      <c r="I311" s="14">
        <v>108.63</v>
      </c>
      <c r="J311" s="14">
        <v>115.33</v>
      </c>
      <c r="K311" s="10">
        <f t="shared" si="9"/>
        <v>0.10046539862403878</v>
      </c>
    </row>
    <row r="312" spans="1:11" x14ac:dyDescent="0.4">
      <c r="A312" s="55">
        <v>45657</v>
      </c>
      <c r="B312" s="14">
        <v>511.23</v>
      </c>
      <c r="C312" s="14">
        <v>539.15</v>
      </c>
      <c r="D312" s="14">
        <v>509.29</v>
      </c>
      <c r="E312" s="14">
        <v>511.01</v>
      </c>
      <c r="F312" s="10">
        <f t="shared" si="8"/>
        <v>2.9230588142975028E-3</v>
      </c>
      <c r="G312" s="14">
        <v>108.24</v>
      </c>
      <c r="H312" s="14">
        <v>120.68</v>
      </c>
      <c r="I312" s="14">
        <v>107.39</v>
      </c>
      <c r="J312" s="14">
        <v>108.77</v>
      </c>
      <c r="K312" s="10">
        <f t="shared" si="9"/>
        <v>-4.8726670957065475E-3</v>
      </c>
    </row>
  </sheetData>
  <sheetProtection algorithmName="SHA-512" hashValue="/xxzccqlyrL1fC6N4Mm9RdfYKxeycM8zwmkYS5WpLKAk/kquH/OOo1Qi2uIN8p2Xemgpu3mc1U5sAaGdTqrjCA==" saltValue="R3dZNogNhKqBxecJLbjE8Q==" spinCount="100000" sheet="1" formatCells="0" formatColumns="0" formatRows="0"/>
  <mergeCells count="2">
    <mergeCell ref="B1:F1"/>
    <mergeCell ref="G1:K1"/>
  </mergeCells>
  <phoneticPr fontId="2" type="noConversion"/>
  <hyperlinks>
    <hyperlink ref="B1:F1" r:id="rId1" display="QQQ" xr:uid="{9C00AE5C-BD94-40DF-9FE1-A5FBEE801762}"/>
    <hyperlink ref="G1:K1" r:id="rId2" display="QLD" xr:uid="{75161615-615C-4493-9FBF-2538A8DF8DF0}"/>
  </hyperlinks>
  <pageMargins left="0.7" right="0.7" top="0.75" bottom="0.75" header="0.3" footer="0.3"/>
  <pageSetup paperSize="9" orientation="portrait"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8720F-680C-436D-86F4-454456217DF6}">
  <sheetPr codeName="工作表3"/>
  <dimension ref="A1:I482"/>
  <sheetViews>
    <sheetView zoomScale="85" zoomScaleNormal="85" workbookViewId="0">
      <pane xSplit="5" ySplit="2" topLeftCell="F3" activePane="bottomRight" state="frozen"/>
      <selection pane="topRight" activeCell="F1" sqref="F1"/>
      <selection pane="bottomLeft" activeCell="A3" sqref="A3"/>
      <selection pane="bottomRight" activeCell="B15" sqref="B15"/>
    </sheetView>
  </sheetViews>
  <sheetFormatPr defaultRowHeight="17" x14ac:dyDescent="0.4"/>
  <cols>
    <col min="1" max="1" width="21" style="32" bestFit="1" customWidth="1"/>
    <col min="2" max="2" width="9.81640625" style="67" bestFit="1" customWidth="1"/>
    <col min="3" max="3" width="31.54296875" style="68" customWidth="1"/>
    <col min="4" max="4" width="1.08984375" style="69" customWidth="1"/>
    <col min="5" max="5" width="5.6328125" style="70" bestFit="1" customWidth="1"/>
    <col min="6" max="6" width="11.54296875" style="71" bestFit="1" customWidth="1"/>
    <col min="7" max="8" width="10.90625" style="71" bestFit="1" customWidth="1"/>
    <col min="9" max="9" width="11.54296875" style="71" bestFit="1" customWidth="1"/>
    <col min="10" max="16384" width="8.7265625" style="1"/>
  </cols>
  <sheetData>
    <row r="1" spans="1:9" s="30" customFormat="1" x14ac:dyDescent="0.4">
      <c r="A1" s="217" t="s">
        <v>77</v>
      </c>
      <c r="B1" s="219" t="s">
        <v>159</v>
      </c>
      <c r="C1" s="219" t="s">
        <v>160</v>
      </c>
      <c r="D1" s="221"/>
      <c r="E1" s="63" t="s">
        <v>76</v>
      </c>
      <c r="F1" s="64">
        <f>B5*10000</f>
        <v>14000000</v>
      </c>
      <c r="G1" s="64">
        <f>SUM(G3:G500)</f>
        <v>13999999.999999899</v>
      </c>
      <c r="H1" s="64">
        <f>SUM(H3:H500)</f>
        <v>4211667.333333334</v>
      </c>
      <c r="I1" s="64">
        <f>SUM(I3:I500)</f>
        <v>18211667.333333168</v>
      </c>
    </row>
    <row r="2" spans="1:9" x14ac:dyDescent="0.4">
      <c r="A2" s="218"/>
      <c r="B2" s="220"/>
      <c r="C2" s="220"/>
      <c r="D2" s="221"/>
      <c r="E2" s="65" t="s">
        <v>161</v>
      </c>
      <c r="F2" s="66" t="s">
        <v>162</v>
      </c>
      <c r="G2" s="66" t="s">
        <v>163</v>
      </c>
      <c r="H2" s="66" t="s">
        <v>164</v>
      </c>
      <c r="I2" s="66" t="s">
        <v>165</v>
      </c>
    </row>
    <row r="3" spans="1:9" x14ac:dyDescent="0.4">
      <c r="A3" s="32" t="s">
        <v>166</v>
      </c>
      <c r="B3" s="90">
        <v>2000</v>
      </c>
      <c r="E3" s="70">
        <v>1</v>
      </c>
      <c r="F3" s="64">
        <f>$B$5*10000</f>
        <v>14000000</v>
      </c>
      <c r="G3" s="64">
        <f>IF($E3&gt;$B7*12,"",F3/($B$7*12))</f>
        <v>38888.888888888891</v>
      </c>
      <c r="H3" s="71">
        <f>IF($E$3&gt;$B$7*12,"",F3*($B$8/12))</f>
        <v>23333.333333333336</v>
      </c>
      <c r="I3" s="71">
        <f>IF($E$3&gt;$B$7*12,"",G3+H3)</f>
        <v>62222.222222222226</v>
      </c>
    </row>
    <row r="4" spans="1:9" x14ac:dyDescent="0.4">
      <c r="A4" s="32" t="s">
        <v>167</v>
      </c>
      <c r="B4" s="91">
        <v>0.7</v>
      </c>
      <c r="E4" s="70">
        <v>2</v>
      </c>
      <c r="F4" s="71">
        <f t="shared" ref="F4:F67" si="0">IF($E4&gt;$B$7*12,"",F3-G3)</f>
        <v>13961111.111111112</v>
      </c>
      <c r="G4" s="71">
        <f t="shared" ref="G4:G67" si="1">IF($E4&gt;$B$7*12,"",G3)</f>
        <v>38888.888888888891</v>
      </c>
      <c r="H4" s="71">
        <f t="shared" ref="H4:H67" si="2">IF($E4&gt;$B$7*12,"",ROUND(F4*($B$8/12),0))</f>
        <v>23269</v>
      </c>
      <c r="I4" s="71">
        <f t="shared" ref="I4:I67" si="3">IF($E4&gt;$B$7*12,"",G4+H4)</f>
        <v>62157.888888888891</v>
      </c>
    </row>
    <row r="5" spans="1:9" s="38" customFormat="1" x14ac:dyDescent="0.4">
      <c r="A5" s="32" t="s">
        <v>168</v>
      </c>
      <c r="B5" s="71">
        <f>B3*B4</f>
        <v>1400</v>
      </c>
      <c r="C5" s="68" t="s">
        <v>169</v>
      </c>
      <c r="D5" s="69"/>
      <c r="E5" s="70">
        <v>3</v>
      </c>
      <c r="F5" s="71">
        <f t="shared" si="0"/>
        <v>13922222.222222224</v>
      </c>
      <c r="G5" s="71">
        <f t="shared" si="1"/>
        <v>38888.888888888891</v>
      </c>
      <c r="H5" s="71">
        <f t="shared" si="2"/>
        <v>23204</v>
      </c>
      <c r="I5" s="71">
        <f t="shared" si="3"/>
        <v>62092.888888888891</v>
      </c>
    </row>
    <row r="6" spans="1:9" x14ac:dyDescent="0.4">
      <c r="A6" s="32" t="s">
        <v>170</v>
      </c>
      <c r="B6" s="71">
        <f>B3-B5</f>
        <v>600</v>
      </c>
      <c r="C6" s="68" t="s">
        <v>171</v>
      </c>
      <c r="E6" s="70">
        <v>4</v>
      </c>
      <c r="F6" s="71">
        <f t="shared" si="0"/>
        <v>13883333.333333336</v>
      </c>
      <c r="G6" s="71">
        <f t="shared" si="1"/>
        <v>38888.888888888891</v>
      </c>
      <c r="H6" s="71">
        <f t="shared" si="2"/>
        <v>23139</v>
      </c>
      <c r="I6" s="71">
        <f t="shared" si="3"/>
        <v>62027.888888888891</v>
      </c>
    </row>
    <row r="7" spans="1:9" x14ac:dyDescent="0.4">
      <c r="A7" s="32" t="s">
        <v>172</v>
      </c>
      <c r="B7" s="90">
        <v>30</v>
      </c>
      <c r="E7" s="70">
        <v>5</v>
      </c>
      <c r="F7" s="71">
        <f t="shared" si="0"/>
        <v>13844444.444444448</v>
      </c>
      <c r="G7" s="71">
        <f t="shared" si="1"/>
        <v>38888.888888888891</v>
      </c>
      <c r="H7" s="71">
        <f t="shared" si="2"/>
        <v>23074</v>
      </c>
      <c r="I7" s="71">
        <f t="shared" si="3"/>
        <v>61962.888888888891</v>
      </c>
    </row>
    <row r="8" spans="1:9" x14ac:dyDescent="0.4">
      <c r="A8" s="72" t="s">
        <v>173</v>
      </c>
      <c r="B8" s="92">
        <v>0.02</v>
      </c>
      <c r="C8" s="73"/>
      <c r="D8" s="74"/>
      <c r="E8" s="70">
        <v>6</v>
      </c>
      <c r="F8" s="71">
        <f t="shared" si="0"/>
        <v>13805555.55555556</v>
      </c>
      <c r="G8" s="71">
        <f t="shared" si="1"/>
        <v>38888.888888888891</v>
      </c>
      <c r="H8" s="71">
        <f t="shared" si="2"/>
        <v>23009</v>
      </c>
      <c r="I8" s="71">
        <f t="shared" si="3"/>
        <v>61897.888888888891</v>
      </c>
    </row>
    <row r="9" spans="1:9" x14ac:dyDescent="0.4">
      <c r="A9" s="32" t="s">
        <v>174</v>
      </c>
      <c r="B9" s="50">
        <f>I3/10000</f>
        <v>6.2222222222222223</v>
      </c>
      <c r="C9" s="75" t="s">
        <v>175</v>
      </c>
      <c r="E9" s="70">
        <v>7</v>
      </c>
      <c r="F9" s="71">
        <f t="shared" si="0"/>
        <v>13766666.666666672</v>
      </c>
      <c r="G9" s="71">
        <f t="shared" si="1"/>
        <v>38888.888888888891</v>
      </c>
      <c r="H9" s="71">
        <f t="shared" si="2"/>
        <v>22944</v>
      </c>
      <c r="I9" s="71">
        <f t="shared" si="3"/>
        <v>61832.888888888891</v>
      </c>
    </row>
    <row r="10" spans="1:9" x14ac:dyDescent="0.4">
      <c r="A10" s="32" t="s">
        <v>176</v>
      </c>
      <c r="B10" s="71">
        <f>H1/10000</f>
        <v>421.16673333333341</v>
      </c>
      <c r="C10" s="68" t="s">
        <v>177</v>
      </c>
      <c r="E10" s="70">
        <v>8</v>
      </c>
      <c r="F10" s="71">
        <f t="shared" si="0"/>
        <v>13727777.777777784</v>
      </c>
      <c r="G10" s="71">
        <f t="shared" si="1"/>
        <v>38888.888888888891</v>
      </c>
      <c r="H10" s="71">
        <f t="shared" si="2"/>
        <v>22880</v>
      </c>
      <c r="I10" s="71">
        <f t="shared" si="3"/>
        <v>61768.888888888891</v>
      </c>
    </row>
    <row r="11" spans="1:9" x14ac:dyDescent="0.4">
      <c r="A11" s="32" t="s">
        <v>178</v>
      </c>
      <c r="B11" s="76">
        <f>B12/B5-1</f>
        <v>0.30083338095236911</v>
      </c>
      <c r="C11" s="68" t="s">
        <v>179</v>
      </c>
      <c r="E11" s="70">
        <v>9</v>
      </c>
      <c r="F11" s="71">
        <f t="shared" si="0"/>
        <v>13688888.888888896</v>
      </c>
      <c r="G11" s="71">
        <f t="shared" si="1"/>
        <v>38888.888888888891</v>
      </c>
      <c r="H11" s="71">
        <f t="shared" si="2"/>
        <v>22815</v>
      </c>
      <c r="I11" s="71">
        <f t="shared" si="3"/>
        <v>61703.888888888891</v>
      </c>
    </row>
    <row r="12" spans="1:9" x14ac:dyDescent="0.4">
      <c r="A12" s="32" t="s">
        <v>180</v>
      </c>
      <c r="B12" s="71">
        <f>I1/10000</f>
        <v>1821.1667333333169</v>
      </c>
      <c r="C12" s="68" t="s">
        <v>181</v>
      </c>
      <c r="E12" s="70">
        <v>10</v>
      </c>
      <c r="F12" s="71">
        <f t="shared" si="0"/>
        <v>13650000.000000007</v>
      </c>
      <c r="G12" s="71">
        <f t="shared" si="1"/>
        <v>38888.888888888891</v>
      </c>
      <c r="H12" s="71">
        <f t="shared" si="2"/>
        <v>22750</v>
      </c>
      <c r="I12" s="71">
        <f t="shared" si="3"/>
        <v>61638.888888888891</v>
      </c>
    </row>
    <row r="13" spans="1:9" x14ac:dyDescent="0.4">
      <c r="A13" s="32" t="s">
        <v>8</v>
      </c>
      <c r="B13" s="71">
        <f>B6+B12</f>
        <v>2421.1667333333171</v>
      </c>
      <c r="C13" s="68" t="s">
        <v>182</v>
      </c>
      <c r="E13" s="70">
        <v>11</v>
      </c>
      <c r="F13" s="71">
        <f t="shared" si="0"/>
        <v>13611111.111111119</v>
      </c>
      <c r="G13" s="71">
        <f t="shared" si="1"/>
        <v>38888.888888888891</v>
      </c>
      <c r="H13" s="71">
        <f t="shared" si="2"/>
        <v>22685</v>
      </c>
      <c r="I13" s="71">
        <f t="shared" si="3"/>
        <v>61573.888888888891</v>
      </c>
    </row>
    <row r="14" spans="1:9" x14ac:dyDescent="0.4">
      <c r="A14" s="32" t="s">
        <v>183</v>
      </c>
      <c r="B14" s="92">
        <v>0.05</v>
      </c>
      <c r="C14" s="68" t="s">
        <v>184</v>
      </c>
      <c r="E14" s="70">
        <v>12</v>
      </c>
      <c r="F14" s="71">
        <f t="shared" si="0"/>
        <v>13572222.222222231</v>
      </c>
      <c r="G14" s="71">
        <f t="shared" si="1"/>
        <v>38888.888888888891</v>
      </c>
      <c r="H14" s="71">
        <f t="shared" si="2"/>
        <v>22620</v>
      </c>
      <c r="I14" s="71">
        <f t="shared" si="3"/>
        <v>61508.888888888891</v>
      </c>
    </row>
    <row r="15" spans="1:9" x14ac:dyDescent="0.4">
      <c r="A15" s="32" t="s">
        <v>185</v>
      </c>
      <c r="B15" s="71">
        <f>B3*(1+B14)^B7</f>
        <v>8643.8847503013258</v>
      </c>
      <c r="E15" s="70">
        <v>13</v>
      </c>
      <c r="F15" s="71">
        <f t="shared" si="0"/>
        <v>13533333.333333343</v>
      </c>
      <c r="G15" s="71">
        <f t="shared" si="1"/>
        <v>38888.888888888891</v>
      </c>
      <c r="H15" s="71">
        <f t="shared" si="2"/>
        <v>22556</v>
      </c>
      <c r="I15" s="71">
        <f t="shared" si="3"/>
        <v>61444.888888888891</v>
      </c>
    </row>
    <row r="16" spans="1:9" x14ac:dyDescent="0.4">
      <c r="A16" s="32" t="s">
        <v>186</v>
      </c>
      <c r="B16" s="76">
        <f>(B15/B13)^(1/B7)-1</f>
        <v>4.3332675474547777E-2</v>
      </c>
      <c r="E16" s="70">
        <v>14</v>
      </c>
      <c r="F16" s="71">
        <f t="shared" si="0"/>
        <v>13494444.444444455</v>
      </c>
      <c r="G16" s="71">
        <f t="shared" si="1"/>
        <v>38888.888888888891</v>
      </c>
      <c r="H16" s="71">
        <f t="shared" si="2"/>
        <v>22491</v>
      </c>
      <c r="I16" s="71">
        <f t="shared" si="3"/>
        <v>61379.888888888891</v>
      </c>
    </row>
    <row r="17" spans="1:9" x14ac:dyDescent="0.4">
      <c r="E17" s="70">
        <v>15</v>
      </c>
      <c r="F17" s="71">
        <f t="shared" si="0"/>
        <v>13455555.555555567</v>
      </c>
      <c r="G17" s="71">
        <f t="shared" si="1"/>
        <v>38888.888888888891</v>
      </c>
      <c r="H17" s="71">
        <f t="shared" si="2"/>
        <v>22426</v>
      </c>
      <c r="I17" s="71">
        <f t="shared" si="3"/>
        <v>61314.888888888891</v>
      </c>
    </row>
    <row r="18" spans="1:9" ht="17" customHeight="1" x14ac:dyDescent="0.4">
      <c r="A18" s="222" t="s">
        <v>187</v>
      </c>
      <c r="B18" s="223"/>
      <c r="C18" s="224"/>
      <c r="E18" s="70">
        <v>16</v>
      </c>
      <c r="F18" s="71">
        <f t="shared" si="0"/>
        <v>13416666.666666679</v>
      </c>
      <c r="G18" s="71">
        <f t="shared" si="1"/>
        <v>38888.888888888891</v>
      </c>
      <c r="H18" s="71">
        <f t="shared" si="2"/>
        <v>22361</v>
      </c>
      <c r="I18" s="71">
        <f t="shared" si="3"/>
        <v>61249.888888888891</v>
      </c>
    </row>
    <row r="19" spans="1:9" x14ac:dyDescent="0.4">
      <c r="A19" s="225"/>
      <c r="B19" s="226"/>
      <c r="C19" s="227"/>
      <c r="E19" s="70">
        <v>17</v>
      </c>
      <c r="F19" s="71">
        <f t="shared" si="0"/>
        <v>13377777.777777791</v>
      </c>
      <c r="G19" s="71">
        <f t="shared" si="1"/>
        <v>38888.888888888891</v>
      </c>
      <c r="H19" s="71">
        <f t="shared" si="2"/>
        <v>22296</v>
      </c>
      <c r="I19" s="71">
        <f t="shared" si="3"/>
        <v>61184.888888888891</v>
      </c>
    </row>
    <row r="20" spans="1:9" x14ac:dyDescent="0.4">
      <c r="A20" s="225"/>
      <c r="B20" s="226"/>
      <c r="C20" s="227"/>
      <c r="E20" s="70">
        <v>18</v>
      </c>
      <c r="F20" s="71">
        <f t="shared" si="0"/>
        <v>13338888.888888903</v>
      </c>
      <c r="G20" s="71">
        <f t="shared" si="1"/>
        <v>38888.888888888891</v>
      </c>
      <c r="H20" s="71">
        <f t="shared" si="2"/>
        <v>22231</v>
      </c>
      <c r="I20" s="71">
        <f t="shared" si="3"/>
        <v>61119.888888888891</v>
      </c>
    </row>
    <row r="21" spans="1:9" x14ac:dyDescent="0.4">
      <c r="A21" s="225"/>
      <c r="B21" s="226"/>
      <c r="C21" s="227"/>
      <c r="E21" s="70">
        <v>19</v>
      </c>
      <c r="F21" s="71">
        <f t="shared" si="0"/>
        <v>13300000.000000015</v>
      </c>
      <c r="G21" s="71">
        <f t="shared" si="1"/>
        <v>38888.888888888891</v>
      </c>
      <c r="H21" s="71">
        <f t="shared" si="2"/>
        <v>22167</v>
      </c>
      <c r="I21" s="71">
        <f t="shared" si="3"/>
        <v>61055.888888888891</v>
      </c>
    </row>
    <row r="22" spans="1:9" x14ac:dyDescent="0.4">
      <c r="A22" s="225"/>
      <c r="B22" s="226"/>
      <c r="C22" s="227"/>
      <c r="E22" s="70">
        <v>20</v>
      </c>
      <c r="F22" s="71">
        <f t="shared" si="0"/>
        <v>13261111.111111127</v>
      </c>
      <c r="G22" s="71">
        <f t="shared" si="1"/>
        <v>38888.888888888891</v>
      </c>
      <c r="H22" s="71">
        <f t="shared" si="2"/>
        <v>22102</v>
      </c>
      <c r="I22" s="71">
        <f t="shared" si="3"/>
        <v>60990.888888888891</v>
      </c>
    </row>
    <row r="23" spans="1:9" x14ac:dyDescent="0.4">
      <c r="A23" s="225"/>
      <c r="B23" s="226"/>
      <c r="C23" s="227"/>
      <c r="E23" s="70">
        <v>21</v>
      </c>
      <c r="F23" s="71">
        <f t="shared" si="0"/>
        <v>13222222.222222239</v>
      </c>
      <c r="G23" s="71">
        <f t="shared" si="1"/>
        <v>38888.888888888891</v>
      </c>
      <c r="H23" s="71">
        <f t="shared" si="2"/>
        <v>22037</v>
      </c>
      <c r="I23" s="71">
        <f t="shared" si="3"/>
        <v>60925.888888888891</v>
      </c>
    </row>
    <row r="24" spans="1:9" x14ac:dyDescent="0.4">
      <c r="A24" s="225"/>
      <c r="B24" s="226"/>
      <c r="C24" s="227"/>
      <c r="E24" s="70">
        <v>22</v>
      </c>
      <c r="F24" s="71">
        <f t="shared" si="0"/>
        <v>13183333.333333351</v>
      </c>
      <c r="G24" s="71">
        <f t="shared" si="1"/>
        <v>38888.888888888891</v>
      </c>
      <c r="H24" s="71">
        <f t="shared" si="2"/>
        <v>21972</v>
      </c>
      <c r="I24" s="71">
        <f t="shared" si="3"/>
        <v>60860.888888888891</v>
      </c>
    </row>
    <row r="25" spans="1:9" x14ac:dyDescent="0.4">
      <c r="A25" s="225"/>
      <c r="B25" s="226"/>
      <c r="C25" s="227"/>
      <c r="E25" s="70">
        <v>23</v>
      </c>
      <c r="F25" s="71">
        <f t="shared" si="0"/>
        <v>13144444.444444463</v>
      </c>
      <c r="G25" s="71">
        <f t="shared" si="1"/>
        <v>38888.888888888891</v>
      </c>
      <c r="H25" s="71">
        <f t="shared" si="2"/>
        <v>21907</v>
      </c>
      <c r="I25" s="71">
        <f t="shared" si="3"/>
        <v>60795.888888888891</v>
      </c>
    </row>
    <row r="26" spans="1:9" x14ac:dyDescent="0.4">
      <c r="A26" s="225"/>
      <c r="B26" s="226"/>
      <c r="C26" s="227"/>
      <c r="E26" s="70">
        <v>24</v>
      </c>
      <c r="F26" s="71">
        <f t="shared" si="0"/>
        <v>13105555.555555575</v>
      </c>
      <c r="G26" s="71">
        <f t="shared" si="1"/>
        <v>38888.888888888891</v>
      </c>
      <c r="H26" s="71">
        <f t="shared" si="2"/>
        <v>21843</v>
      </c>
      <c r="I26" s="71">
        <f t="shared" si="3"/>
        <v>60731.888888888891</v>
      </c>
    </row>
    <row r="27" spans="1:9" x14ac:dyDescent="0.4">
      <c r="A27" s="225"/>
      <c r="B27" s="226"/>
      <c r="C27" s="227"/>
      <c r="E27" s="70">
        <v>25</v>
      </c>
      <c r="F27" s="71">
        <f t="shared" si="0"/>
        <v>13066666.666666687</v>
      </c>
      <c r="G27" s="71">
        <f t="shared" si="1"/>
        <v>38888.888888888891</v>
      </c>
      <c r="H27" s="71">
        <f t="shared" si="2"/>
        <v>21778</v>
      </c>
      <c r="I27" s="71">
        <f t="shared" si="3"/>
        <v>60666.888888888891</v>
      </c>
    </row>
    <row r="28" spans="1:9" x14ac:dyDescent="0.4">
      <c r="A28" s="225"/>
      <c r="B28" s="226"/>
      <c r="C28" s="227"/>
      <c r="E28" s="70">
        <v>26</v>
      </c>
      <c r="F28" s="71">
        <f t="shared" si="0"/>
        <v>13027777.777777798</v>
      </c>
      <c r="G28" s="71">
        <f t="shared" si="1"/>
        <v>38888.888888888891</v>
      </c>
      <c r="H28" s="71">
        <f t="shared" si="2"/>
        <v>21713</v>
      </c>
      <c r="I28" s="71">
        <f t="shared" si="3"/>
        <v>60601.888888888891</v>
      </c>
    </row>
    <row r="29" spans="1:9" x14ac:dyDescent="0.4">
      <c r="A29" s="225"/>
      <c r="B29" s="226"/>
      <c r="C29" s="227"/>
      <c r="E29" s="70">
        <v>27</v>
      </c>
      <c r="F29" s="71">
        <f t="shared" si="0"/>
        <v>12988888.88888891</v>
      </c>
      <c r="G29" s="71">
        <f t="shared" si="1"/>
        <v>38888.888888888891</v>
      </c>
      <c r="H29" s="71">
        <f t="shared" si="2"/>
        <v>21648</v>
      </c>
      <c r="I29" s="71">
        <f t="shared" si="3"/>
        <v>60536.888888888891</v>
      </c>
    </row>
    <row r="30" spans="1:9" x14ac:dyDescent="0.4">
      <c r="A30" s="225"/>
      <c r="B30" s="226"/>
      <c r="C30" s="227"/>
      <c r="E30" s="70">
        <v>28</v>
      </c>
      <c r="F30" s="71">
        <f t="shared" si="0"/>
        <v>12950000.000000022</v>
      </c>
      <c r="G30" s="71">
        <f t="shared" si="1"/>
        <v>38888.888888888891</v>
      </c>
      <c r="H30" s="71">
        <f t="shared" si="2"/>
        <v>21583</v>
      </c>
      <c r="I30" s="71">
        <f t="shared" si="3"/>
        <v>60471.888888888891</v>
      </c>
    </row>
    <row r="31" spans="1:9" x14ac:dyDescent="0.4">
      <c r="E31" s="70">
        <v>29</v>
      </c>
      <c r="F31" s="71">
        <f t="shared" si="0"/>
        <v>12911111.111111134</v>
      </c>
      <c r="G31" s="71">
        <f t="shared" si="1"/>
        <v>38888.888888888891</v>
      </c>
      <c r="H31" s="71">
        <f t="shared" si="2"/>
        <v>21519</v>
      </c>
      <c r="I31" s="71">
        <f t="shared" si="3"/>
        <v>60407.888888888891</v>
      </c>
    </row>
    <row r="32" spans="1:9" x14ac:dyDescent="0.4">
      <c r="E32" s="70">
        <v>30</v>
      </c>
      <c r="F32" s="71">
        <f t="shared" si="0"/>
        <v>12872222.222222246</v>
      </c>
      <c r="G32" s="71">
        <f t="shared" si="1"/>
        <v>38888.888888888891</v>
      </c>
      <c r="H32" s="71">
        <f t="shared" si="2"/>
        <v>21454</v>
      </c>
      <c r="I32" s="71">
        <f t="shared" si="3"/>
        <v>60342.888888888891</v>
      </c>
    </row>
    <row r="33" spans="5:9" x14ac:dyDescent="0.4">
      <c r="E33" s="70">
        <v>31</v>
      </c>
      <c r="F33" s="71">
        <f t="shared" si="0"/>
        <v>12833333.333333358</v>
      </c>
      <c r="G33" s="71">
        <f t="shared" si="1"/>
        <v>38888.888888888891</v>
      </c>
      <c r="H33" s="71">
        <f t="shared" si="2"/>
        <v>21389</v>
      </c>
      <c r="I33" s="71">
        <f t="shared" si="3"/>
        <v>60277.888888888891</v>
      </c>
    </row>
    <row r="34" spans="5:9" x14ac:dyDescent="0.4">
      <c r="E34" s="70">
        <v>32</v>
      </c>
      <c r="F34" s="71">
        <f t="shared" si="0"/>
        <v>12794444.44444447</v>
      </c>
      <c r="G34" s="71">
        <f t="shared" si="1"/>
        <v>38888.888888888891</v>
      </c>
      <c r="H34" s="71">
        <f t="shared" si="2"/>
        <v>21324</v>
      </c>
      <c r="I34" s="71">
        <f t="shared" si="3"/>
        <v>60212.888888888891</v>
      </c>
    </row>
    <row r="35" spans="5:9" x14ac:dyDescent="0.4">
      <c r="E35" s="70">
        <v>33</v>
      </c>
      <c r="F35" s="71">
        <f t="shared" si="0"/>
        <v>12755555.555555582</v>
      </c>
      <c r="G35" s="71">
        <f t="shared" si="1"/>
        <v>38888.888888888891</v>
      </c>
      <c r="H35" s="71">
        <f t="shared" si="2"/>
        <v>21259</v>
      </c>
      <c r="I35" s="71">
        <f t="shared" si="3"/>
        <v>60147.888888888891</v>
      </c>
    </row>
    <row r="36" spans="5:9" x14ac:dyDescent="0.4">
      <c r="E36" s="70">
        <v>34</v>
      </c>
      <c r="F36" s="71">
        <f t="shared" si="0"/>
        <v>12716666.666666694</v>
      </c>
      <c r="G36" s="71">
        <f t="shared" si="1"/>
        <v>38888.888888888891</v>
      </c>
      <c r="H36" s="71">
        <f t="shared" si="2"/>
        <v>21194</v>
      </c>
      <c r="I36" s="71">
        <f t="shared" si="3"/>
        <v>60082.888888888891</v>
      </c>
    </row>
    <row r="37" spans="5:9" x14ac:dyDescent="0.4">
      <c r="E37" s="70">
        <v>35</v>
      </c>
      <c r="F37" s="71">
        <f t="shared" si="0"/>
        <v>12677777.777777806</v>
      </c>
      <c r="G37" s="71">
        <f t="shared" si="1"/>
        <v>38888.888888888891</v>
      </c>
      <c r="H37" s="71">
        <f t="shared" si="2"/>
        <v>21130</v>
      </c>
      <c r="I37" s="71">
        <f t="shared" si="3"/>
        <v>60018.888888888891</v>
      </c>
    </row>
    <row r="38" spans="5:9" x14ac:dyDescent="0.4">
      <c r="E38" s="70">
        <v>36</v>
      </c>
      <c r="F38" s="71">
        <f t="shared" si="0"/>
        <v>12638888.888888918</v>
      </c>
      <c r="G38" s="71">
        <f t="shared" si="1"/>
        <v>38888.888888888891</v>
      </c>
      <c r="H38" s="71">
        <f t="shared" si="2"/>
        <v>21065</v>
      </c>
      <c r="I38" s="71">
        <f t="shared" si="3"/>
        <v>59953.888888888891</v>
      </c>
    </row>
    <row r="39" spans="5:9" x14ac:dyDescent="0.4">
      <c r="E39" s="70">
        <v>37</v>
      </c>
      <c r="F39" s="71">
        <f t="shared" si="0"/>
        <v>12600000.00000003</v>
      </c>
      <c r="G39" s="71">
        <f t="shared" si="1"/>
        <v>38888.888888888891</v>
      </c>
      <c r="H39" s="71">
        <f t="shared" si="2"/>
        <v>21000</v>
      </c>
      <c r="I39" s="71">
        <f t="shared" si="3"/>
        <v>59888.888888888891</v>
      </c>
    </row>
    <row r="40" spans="5:9" x14ac:dyDescent="0.4">
      <c r="E40" s="70">
        <v>38</v>
      </c>
      <c r="F40" s="71">
        <f t="shared" si="0"/>
        <v>12561111.111111142</v>
      </c>
      <c r="G40" s="71">
        <f t="shared" si="1"/>
        <v>38888.888888888891</v>
      </c>
      <c r="H40" s="71">
        <f t="shared" si="2"/>
        <v>20935</v>
      </c>
      <c r="I40" s="71">
        <f t="shared" si="3"/>
        <v>59823.888888888891</v>
      </c>
    </row>
    <row r="41" spans="5:9" x14ac:dyDescent="0.4">
      <c r="E41" s="70">
        <v>39</v>
      </c>
      <c r="F41" s="71">
        <f t="shared" si="0"/>
        <v>12522222.222222254</v>
      </c>
      <c r="G41" s="71">
        <f t="shared" si="1"/>
        <v>38888.888888888891</v>
      </c>
      <c r="H41" s="71">
        <f t="shared" si="2"/>
        <v>20870</v>
      </c>
      <c r="I41" s="71">
        <f t="shared" si="3"/>
        <v>59758.888888888891</v>
      </c>
    </row>
    <row r="42" spans="5:9" x14ac:dyDescent="0.4">
      <c r="E42" s="70">
        <v>40</v>
      </c>
      <c r="F42" s="71">
        <f t="shared" si="0"/>
        <v>12483333.333333366</v>
      </c>
      <c r="G42" s="71">
        <f t="shared" si="1"/>
        <v>38888.888888888891</v>
      </c>
      <c r="H42" s="71">
        <f t="shared" si="2"/>
        <v>20806</v>
      </c>
      <c r="I42" s="71">
        <f t="shared" si="3"/>
        <v>59694.888888888891</v>
      </c>
    </row>
    <row r="43" spans="5:9" x14ac:dyDescent="0.4">
      <c r="E43" s="70">
        <v>41</v>
      </c>
      <c r="F43" s="71">
        <f t="shared" si="0"/>
        <v>12444444.444444478</v>
      </c>
      <c r="G43" s="71">
        <f t="shared" si="1"/>
        <v>38888.888888888891</v>
      </c>
      <c r="H43" s="71">
        <f t="shared" si="2"/>
        <v>20741</v>
      </c>
      <c r="I43" s="71">
        <f t="shared" si="3"/>
        <v>59629.888888888891</v>
      </c>
    </row>
    <row r="44" spans="5:9" x14ac:dyDescent="0.4">
      <c r="E44" s="70">
        <v>42</v>
      </c>
      <c r="F44" s="71">
        <f t="shared" si="0"/>
        <v>12405555.555555589</v>
      </c>
      <c r="G44" s="71">
        <f t="shared" si="1"/>
        <v>38888.888888888891</v>
      </c>
      <c r="H44" s="71">
        <f t="shared" si="2"/>
        <v>20676</v>
      </c>
      <c r="I44" s="71">
        <f t="shared" si="3"/>
        <v>59564.888888888891</v>
      </c>
    </row>
    <row r="45" spans="5:9" x14ac:dyDescent="0.4">
      <c r="E45" s="70">
        <v>43</v>
      </c>
      <c r="F45" s="71">
        <f t="shared" si="0"/>
        <v>12366666.666666701</v>
      </c>
      <c r="G45" s="71">
        <f t="shared" si="1"/>
        <v>38888.888888888891</v>
      </c>
      <c r="H45" s="71">
        <f t="shared" si="2"/>
        <v>20611</v>
      </c>
      <c r="I45" s="71">
        <f t="shared" si="3"/>
        <v>59499.888888888891</v>
      </c>
    </row>
    <row r="46" spans="5:9" x14ac:dyDescent="0.4">
      <c r="E46" s="70">
        <v>44</v>
      </c>
      <c r="F46" s="71">
        <f t="shared" si="0"/>
        <v>12327777.777777813</v>
      </c>
      <c r="G46" s="71">
        <f t="shared" si="1"/>
        <v>38888.888888888891</v>
      </c>
      <c r="H46" s="71">
        <f t="shared" si="2"/>
        <v>20546</v>
      </c>
      <c r="I46" s="71">
        <f t="shared" si="3"/>
        <v>59434.888888888891</v>
      </c>
    </row>
    <row r="47" spans="5:9" x14ac:dyDescent="0.4">
      <c r="E47" s="70">
        <v>45</v>
      </c>
      <c r="F47" s="71">
        <f t="shared" si="0"/>
        <v>12288888.888888925</v>
      </c>
      <c r="G47" s="71">
        <f t="shared" si="1"/>
        <v>38888.888888888891</v>
      </c>
      <c r="H47" s="71">
        <f t="shared" si="2"/>
        <v>20481</v>
      </c>
      <c r="I47" s="71">
        <f t="shared" si="3"/>
        <v>59369.888888888891</v>
      </c>
    </row>
    <row r="48" spans="5:9" x14ac:dyDescent="0.4">
      <c r="E48" s="70">
        <v>46</v>
      </c>
      <c r="F48" s="71">
        <f t="shared" si="0"/>
        <v>12250000.000000037</v>
      </c>
      <c r="G48" s="71">
        <f t="shared" si="1"/>
        <v>38888.888888888891</v>
      </c>
      <c r="H48" s="71">
        <f t="shared" si="2"/>
        <v>20417</v>
      </c>
      <c r="I48" s="71">
        <f t="shared" si="3"/>
        <v>59305.888888888891</v>
      </c>
    </row>
    <row r="49" spans="5:9" x14ac:dyDescent="0.4">
      <c r="E49" s="70">
        <v>47</v>
      </c>
      <c r="F49" s="71">
        <f t="shared" si="0"/>
        <v>12211111.111111149</v>
      </c>
      <c r="G49" s="71">
        <f t="shared" si="1"/>
        <v>38888.888888888891</v>
      </c>
      <c r="H49" s="71">
        <f t="shared" si="2"/>
        <v>20352</v>
      </c>
      <c r="I49" s="71">
        <f t="shared" si="3"/>
        <v>59240.888888888891</v>
      </c>
    </row>
    <row r="50" spans="5:9" x14ac:dyDescent="0.4">
      <c r="E50" s="70">
        <v>48</v>
      </c>
      <c r="F50" s="71">
        <f t="shared" si="0"/>
        <v>12172222.222222261</v>
      </c>
      <c r="G50" s="71">
        <f t="shared" si="1"/>
        <v>38888.888888888891</v>
      </c>
      <c r="H50" s="71">
        <f t="shared" si="2"/>
        <v>20287</v>
      </c>
      <c r="I50" s="71">
        <f t="shared" si="3"/>
        <v>59175.888888888891</v>
      </c>
    </row>
    <row r="51" spans="5:9" x14ac:dyDescent="0.4">
      <c r="E51" s="70">
        <v>49</v>
      </c>
      <c r="F51" s="71">
        <f t="shared" si="0"/>
        <v>12133333.333333373</v>
      </c>
      <c r="G51" s="71">
        <f t="shared" si="1"/>
        <v>38888.888888888891</v>
      </c>
      <c r="H51" s="71">
        <f t="shared" si="2"/>
        <v>20222</v>
      </c>
      <c r="I51" s="71">
        <f t="shared" si="3"/>
        <v>59110.888888888891</v>
      </c>
    </row>
    <row r="52" spans="5:9" x14ac:dyDescent="0.4">
      <c r="E52" s="70">
        <v>50</v>
      </c>
      <c r="F52" s="71">
        <f t="shared" si="0"/>
        <v>12094444.444444485</v>
      </c>
      <c r="G52" s="71">
        <f t="shared" si="1"/>
        <v>38888.888888888891</v>
      </c>
      <c r="H52" s="71">
        <f t="shared" si="2"/>
        <v>20157</v>
      </c>
      <c r="I52" s="71">
        <f t="shared" si="3"/>
        <v>59045.888888888891</v>
      </c>
    </row>
    <row r="53" spans="5:9" x14ac:dyDescent="0.4">
      <c r="E53" s="70">
        <v>51</v>
      </c>
      <c r="F53" s="71">
        <f t="shared" si="0"/>
        <v>12055555.555555597</v>
      </c>
      <c r="G53" s="71">
        <f t="shared" si="1"/>
        <v>38888.888888888891</v>
      </c>
      <c r="H53" s="71">
        <f t="shared" si="2"/>
        <v>20093</v>
      </c>
      <c r="I53" s="71">
        <f t="shared" si="3"/>
        <v>58981.888888888891</v>
      </c>
    </row>
    <row r="54" spans="5:9" x14ac:dyDescent="0.4">
      <c r="E54" s="70">
        <v>52</v>
      </c>
      <c r="F54" s="71">
        <f t="shared" si="0"/>
        <v>12016666.666666709</v>
      </c>
      <c r="G54" s="71">
        <f t="shared" si="1"/>
        <v>38888.888888888891</v>
      </c>
      <c r="H54" s="71">
        <f t="shared" si="2"/>
        <v>20028</v>
      </c>
      <c r="I54" s="71">
        <f t="shared" si="3"/>
        <v>58916.888888888891</v>
      </c>
    </row>
    <row r="55" spans="5:9" x14ac:dyDescent="0.4">
      <c r="E55" s="70">
        <v>53</v>
      </c>
      <c r="F55" s="71">
        <f t="shared" si="0"/>
        <v>11977777.777777821</v>
      </c>
      <c r="G55" s="71">
        <f t="shared" si="1"/>
        <v>38888.888888888891</v>
      </c>
      <c r="H55" s="71">
        <f t="shared" si="2"/>
        <v>19963</v>
      </c>
      <c r="I55" s="71">
        <f t="shared" si="3"/>
        <v>58851.888888888891</v>
      </c>
    </row>
    <row r="56" spans="5:9" x14ac:dyDescent="0.4">
      <c r="E56" s="70">
        <v>54</v>
      </c>
      <c r="F56" s="71">
        <f t="shared" si="0"/>
        <v>11938888.888888933</v>
      </c>
      <c r="G56" s="71">
        <f t="shared" si="1"/>
        <v>38888.888888888891</v>
      </c>
      <c r="H56" s="71">
        <f t="shared" si="2"/>
        <v>19898</v>
      </c>
      <c r="I56" s="71">
        <f t="shared" si="3"/>
        <v>58786.888888888891</v>
      </c>
    </row>
    <row r="57" spans="5:9" x14ac:dyDescent="0.4">
      <c r="E57" s="70">
        <v>55</v>
      </c>
      <c r="F57" s="71">
        <f t="shared" si="0"/>
        <v>11900000.000000045</v>
      </c>
      <c r="G57" s="71">
        <f t="shared" si="1"/>
        <v>38888.888888888891</v>
      </c>
      <c r="H57" s="71">
        <f t="shared" si="2"/>
        <v>19833</v>
      </c>
      <c r="I57" s="71">
        <f t="shared" si="3"/>
        <v>58721.888888888891</v>
      </c>
    </row>
    <row r="58" spans="5:9" x14ac:dyDescent="0.4">
      <c r="E58" s="70">
        <v>56</v>
      </c>
      <c r="F58" s="71">
        <f t="shared" si="0"/>
        <v>11861111.111111157</v>
      </c>
      <c r="G58" s="71">
        <f t="shared" si="1"/>
        <v>38888.888888888891</v>
      </c>
      <c r="H58" s="71">
        <f t="shared" si="2"/>
        <v>19769</v>
      </c>
      <c r="I58" s="71">
        <f t="shared" si="3"/>
        <v>58657.888888888891</v>
      </c>
    </row>
    <row r="59" spans="5:9" x14ac:dyDescent="0.4">
      <c r="E59" s="70">
        <v>57</v>
      </c>
      <c r="F59" s="71">
        <f t="shared" si="0"/>
        <v>11822222.222222269</v>
      </c>
      <c r="G59" s="71">
        <f t="shared" si="1"/>
        <v>38888.888888888891</v>
      </c>
      <c r="H59" s="71">
        <f t="shared" si="2"/>
        <v>19704</v>
      </c>
      <c r="I59" s="71">
        <f t="shared" si="3"/>
        <v>58592.888888888891</v>
      </c>
    </row>
    <row r="60" spans="5:9" x14ac:dyDescent="0.4">
      <c r="E60" s="70">
        <v>58</v>
      </c>
      <c r="F60" s="71">
        <f t="shared" si="0"/>
        <v>11783333.333333381</v>
      </c>
      <c r="G60" s="71">
        <f t="shared" si="1"/>
        <v>38888.888888888891</v>
      </c>
      <c r="H60" s="71">
        <f t="shared" si="2"/>
        <v>19639</v>
      </c>
      <c r="I60" s="71">
        <f t="shared" si="3"/>
        <v>58527.888888888891</v>
      </c>
    </row>
    <row r="61" spans="5:9" x14ac:dyDescent="0.4">
      <c r="E61" s="70">
        <v>59</v>
      </c>
      <c r="F61" s="71">
        <f t="shared" si="0"/>
        <v>11744444.444444492</v>
      </c>
      <c r="G61" s="71">
        <f t="shared" si="1"/>
        <v>38888.888888888891</v>
      </c>
      <c r="H61" s="71">
        <f t="shared" si="2"/>
        <v>19574</v>
      </c>
      <c r="I61" s="71">
        <f t="shared" si="3"/>
        <v>58462.888888888891</v>
      </c>
    </row>
    <row r="62" spans="5:9" x14ac:dyDescent="0.4">
      <c r="E62" s="70">
        <v>60</v>
      </c>
      <c r="F62" s="71">
        <f t="shared" si="0"/>
        <v>11705555.555555604</v>
      </c>
      <c r="G62" s="71">
        <f t="shared" si="1"/>
        <v>38888.888888888891</v>
      </c>
      <c r="H62" s="71">
        <f t="shared" si="2"/>
        <v>19509</v>
      </c>
      <c r="I62" s="71">
        <f t="shared" si="3"/>
        <v>58397.888888888891</v>
      </c>
    </row>
    <row r="63" spans="5:9" x14ac:dyDescent="0.4">
      <c r="E63" s="70">
        <v>61</v>
      </c>
      <c r="F63" s="71">
        <f t="shared" si="0"/>
        <v>11666666.666666716</v>
      </c>
      <c r="G63" s="71">
        <f t="shared" si="1"/>
        <v>38888.888888888891</v>
      </c>
      <c r="H63" s="71">
        <f t="shared" si="2"/>
        <v>19444</v>
      </c>
      <c r="I63" s="71">
        <f t="shared" si="3"/>
        <v>58332.888888888891</v>
      </c>
    </row>
    <row r="64" spans="5:9" x14ac:dyDescent="0.4">
      <c r="E64" s="70">
        <v>62</v>
      </c>
      <c r="F64" s="71">
        <f t="shared" si="0"/>
        <v>11627777.777777828</v>
      </c>
      <c r="G64" s="71">
        <f t="shared" si="1"/>
        <v>38888.888888888891</v>
      </c>
      <c r="H64" s="71">
        <f t="shared" si="2"/>
        <v>19380</v>
      </c>
      <c r="I64" s="71">
        <f t="shared" si="3"/>
        <v>58268.888888888891</v>
      </c>
    </row>
    <row r="65" spans="5:9" x14ac:dyDescent="0.4">
      <c r="E65" s="70">
        <v>63</v>
      </c>
      <c r="F65" s="71">
        <f t="shared" si="0"/>
        <v>11588888.88888894</v>
      </c>
      <c r="G65" s="71">
        <f t="shared" si="1"/>
        <v>38888.888888888891</v>
      </c>
      <c r="H65" s="71">
        <f t="shared" si="2"/>
        <v>19315</v>
      </c>
      <c r="I65" s="71">
        <f t="shared" si="3"/>
        <v>58203.888888888891</v>
      </c>
    </row>
    <row r="66" spans="5:9" x14ac:dyDescent="0.4">
      <c r="E66" s="70">
        <v>64</v>
      </c>
      <c r="F66" s="71">
        <f t="shared" si="0"/>
        <v>11550000.000000052</v>
      </c>
      <c r="G66" s="71">
        <f t="shared" si="1"/>
        <v>38888.888888888891</v>
      </c>
      <c r="H66" s="71">
        <f t="shared" si="2"/>
        <v>19250</v>
      </c>
      <c r="I66" s="71">
        <f t="shared" si="3"/>
        <v>58138.888888888891</v>
      </c>
    </row>
    <row r="67" spans="5:9" x14ac:dyDescent="0.4">
      <c r="E67" s="70">
        <v>65</v>
      </c>
      <c r="F67" s="71">
        <f t="shared" si="0"/>
        <v>11511111.111111164</v>
      </c>
      <c r="G67" s="71">
        <f t="shared" si="1"/>
        <v>38888.888888888891</v>
      </c>
      <c r="H67" s="71">
        <f t="shared" si="2"/>
        <v>19185</v>
      </c>
      <c r="I67" s="71">
        <f t="shared" si="3"/>
        <v>58073.888888888891</v>
      </c>
    </row>
    <row r="68" spans="5:9" x14ac:dyDescent="0.4">
      <c r="E68" s="70">
        <v>66</v>
      </c>
      <c r="F68" s="71">
        <f t="shared" ref="F68:F131" si="4">IF($E68&gt;$B$7*12,"",F67-G67)</f>
        <v>11472222.222222276</v>
      </c>
      <c r="G68" s="71">
        <f t="shared" ref="G68:G131" si="5">IF($E68&gt;$B$7*12,"",G67)</f>
        <v>38888.888888888891</v>
      </c>
      <c r="H68" s="71">
        <f t="shared" ref="H68:H131" si="6">IF($E68&gt;$B$7*12,"",ROUND(F68*($B$8/12),0))</f>
        <v>19120</v>
      </c>
      <c r="I68" s="71">
        <f t="shared" ref="I68:I131" si="7">IF($E68&gt;$B$7*12,"",G68+H68)</f>
        <v>58008.888888888891</v>
      </c>
    </row>
    <row r="69" spans="5:9" x14ac:dyDescent="0.4">
      <c r="E69" s="70">
        <v>67</v>
      </c>
      <c r="F69" s="71">
        <f t="shared" si="4"/>
        <v>11433333.333333388</v>
      </c>
      <c r="G69" s="71">
        <f t="shared" si="5"/>
        <v>38888.888888888891</v>
      </c>
      <c r="H69" s="71">
        <f t="shared" si="6"/>
        <v>19056</v>
      </c>
      <c r="I69" s="71">
        <f t="shared" si="7"/>
        <v>57944.888888888891</v>
      </c>
    </row>
    <row r="70" spans="5:9" x14ac:dyDescent="0.4">
      <c r="E70" s="70">
        <v>68</v>
      </c>
      <c r="F70" s="71">
        <f t="shared" si="4"/>
        <v>11394444.4444445</v>
      </c>
      <c r="G70" s="71">
        <f t="shared" si="5"/>
        <v>38888.888888888891</v>
      </c>
      <c r="H70" s="71">
        <f t="shared" si="6"/>
        <v>18991</v>
      </c>
      <c r="I70" s="71">
        <f t="shared" si="7"/>
        <v>57879.888888888891</v>
      </c>
    </row>
    <row r="71" spans="5:9" x14ac:dyDescent="0.4">
      <c r="E71" s="70">
        <v>69</v>
      </c>
      <c r="F71" s="71">
        <f t="shared" si="4"/>
        <v>11355555.555555612</v>
      </c>
      <c r="G71" s="71">
        <f t="shared" si="5"/>
        <v>38888.888888888891</v>
      </c>
      <c r="H71" s="71">
        <f t="shared" si="6"/>
        <v>18926</v>
      </c>
      <c r="I71" s="71">
        <f t="shared" si="7"/>
        <v>57814.888888888891</v>
      </c>
    </row>
    <row r="72" spans="5:9" x14ac:dyDescent="0.4">
      <c r="E72" s="70">
        <v>70</v>
      </c>
      <c r="F72" s="71">
        <f t="shared" si="4"/>
        <v>11316666.666666724</v>
      </c>
      <c r="G72" s="71">
        <f t="shared" si="5"/>
        <v>38888.888888888891</v>
      </c>
      <c r="H72" s="71">
        <f t="shared" si="6"/>
        <v>18861</v>
      </c>
      <c r="I72" s="71">
        <f t="shared" si="7"/>
        <v>57749.888888888891</v>
      </c>
    </row>
    <row r="73" spans="5:9" x14ac:dyDescent="0.4">
      <c r="E73" s="70">
        <v>71</v>
      </c>
      <c r="F73" s="71">
        <f t="shared" si="4"/>
        <v>11277777.777777836</v>
      </c>
      <c r="G73" s="71">
        <f t="shared" si="5"/>
        <v>38888.888888888891</v>
      </c>
      <c r="H73" s="71">
        <f t="shared" si="6"/>
        <v>18796</v>
      </c>
      <c r="I73" s="71">
        <f t="shared" si="7"/>
        <v>57684.888888888891</v>
      </c>
    </row>
    <row r="74" spans="5:9" x14ac:dyDescent="0.4">
      <c r="E74" s="70">
        <v>72</v>
      </c>
      <c r="F74" s="71">
        <f t="shared" si="4"/>
        <v>11238888.888888948</v>
      </c>
      <c r="G74" s="71">
        <f t="shared" si="5"/>
        <v>38888.888888888891</v>
      </c>
      <c r="H74" s="71">
        <f t="shared" si="6"/>
        <v>18731</v>
      </c>
      <c r="I74" s="71">
        <f t="shared" si="7"/>
        <v>57619.888888888891</v>
      </c>
    </row>
    <row r="75" spans="5:9" x14ac:dyDescent="0.4">
      <c r="E75" s="70">
        <v>73</v>
      </c>
      <c r="F75" s="71">
        <f t="shared" si="4"/>
        <v>11200000.00000006</v>
      </c>
      <c r="G75" s="71">
        <f t="shared" si="5"/>
        <v>38888.888888888891</v>
      </c>
      <c r="H75" s="71">
        <f t="shared" si="6"/>
        <v>18667</v>
      </c>
      <c r="I75" s="71">
        <f t="shared" si="7"/>
        <v>57555.888888888891</v>
      </c>
    </row>
    <row r="76" spans="5:9" x14ac:dyDescent="0.4">
      <c r="E76" s="70">
        <v>74</v>
      </c>
      <c r="F76" s="71">
        <f t="shared" si="4"/>
        <v>11161111.111111172</v>
      </c>
      <c r="G76" s="71">
        <f t="shared" si="5"/>
        <v>38888.888888888891</v>
      </c>
      <c r="H76" s="71">
        <f t="shared" si="6"/>
        <v>18602</v>
      </c>
      <c r="I76" s="71">
        <f t="shared" si="7"/>
        <v>57490.888888888891</v>
      </c>
    </row>
    <row r="77" spans="5:9" x14ac:dyDescent="0.4">
      <c r="E77" s="70">
        <v>75</v>
      </c>
      <c r="F77" s="71">
        <f t="shared" si="4"/>
        <v>11122222.222222283</v>
      </c>
      <c r="G77" s="71">
        <f t="shared" si="5"/>
        <v>38888.888888888891</v>
      </c>
      <c r="H77" s="71">
        <f t="shared" si="6"/>
        <v>18537</v>
      </c>
      <c r="I77" s="71">
        <f t="shared" si="7"/>
        <v>57425.888888888891</v>
      </c>
    </row>
    <row r="78" spans="5:9" x14ac:dyDescent="0.4">
      <c r="E78" s="70">
        <v>76</v>
      </c>
      <c r="F78" s="71">
        <f t="shared" si="4"/>
        <v>11083333.333333395</v>
      </c>
      <c r="G78" s="71">
        <f t="shared" si="5"/>
        <v>38888.888888888891</v>
      </c>
      <c r="H78" s="71">
        <f t="shared" si="6"/>
        <v>18472</v>
      </c>
      <c r="I78" s="71">
        <f t="shared" si="7"/>
        <v>57360.888888888891</v>
      </c>
    </row>
    <row r="79" spans="5:9" x14ac:dyDescent="0.4">
      <c r="E79" s="70">
        <v>77</v>
      </c>
      <c r="F79" s="71">
        <f t="shared" si="4"/>
        <v>11044444.444444507</v>
      </c>
      <c r="G79" s="71">
        <f t="shared" si="5"/>
        <v>38888.888888888891</v>
      </c>
      <c r="H79" s="71">
        <f t="shared" si="6"/>
        <v>18407</v>
      </c>
      <c r="I79" s="71">
        <f t="shared" si="7"/>
        <v>57295.888888888891</v>
      </c>
    </row>
    <row r="80" spans="5:9" x14ac:dyDescent="0.4">
      <c r="E80" s="70">
        <v>78</v>
      </c>
      <c r="F80" s="71">
        <f t="shared" si="4"/>
        <v>11005555.555555619</v>
      </c>
      <c r="G80" s="71">
        <f t="shared" si="5"/>
        <v>38888.888888888891</v>
      </c>
      <c r="H80" s="71">
        <f t="shared" si="6"/>
        <v>18343</v>
      </c>
      <c r="I80" s="71">
        <f t="shared" si="7"/>
        <v>57231.888888888891</v>
      </c>
    </row>
    <row r="81" spans="5:9" x14ac:dyDescent="0.4">
      <c r="E81" s="70">
        <v>79</v>
      </c>
      <c r="F81" s="71">
        <f t="shared" si="4"/>
        <v>10966666.666666731</v>
      </c>
      <c r="G81" s="71">
        <f t="shared" si="5"/>
        <v>38888.888888888891</v>
      </c>
      <c r="H81" s="71">
        <f t="shared" si="6"/>
        <v>18278</v>
      </c>
      <c r="I81" s="71">
        <f t="shared" si="7"/>
        <v>57166.888888888891</v>
      </c>
    </row>
    <row r="82" spans="5:9" x14ac:dyDescent="0.4">
      <c r="E82" s="70">
        <v>80</v>
      </c>
      <c r="F82" s="71">
        <f t="shared" si="4"/>
        <v>10927777.777777843</v>
      </c>
      <c r="G82" s="71">
        <f t="shared" si="5"/>
        <v>38888.888888888891</v>
      </c>
      <c r="H82" s="71">
        <f t="shared" si="6"/>
        <v>18213</v>
      </c>
      <c r="I82" s="71">
        <f t="shared" si="7"/>
        <v>57101.888888888891</v>
      </c>
    </row>
    <row r="83" spans="5:9" x14ac:dyDescent="0.4">
      <c r="E83" s="70">
        <v>81</v>
      </c>
      <c r="F83" s="71">
        <f t="shared" si="4"/>
        <v>10888888.888888955</v>
      </c>
      <c r="G83" s="71">
        <f t="shared" si="5"/>
        <v>38888.888888888891</v>
      </c>
      <c r="H83" s="71">
        <f t="shared" si="6"/>
        <v>18148</v>
      </c>
      <c r="I83" s="71">
        <f t="shared" si="7"/>
        <v>57036.888888888891</v>
      </c>
    </row>
    <row r="84" spans="5:9" x14ac:dyDescent="0.4">
      <c r="E84" s="70">
        <v>82</v>
      </c>
      <c r="F84" s="71">
        <f t="shared" si="4"/>
        <v>10850000.000000067</v>
      </c>
      <c r="G84" s="71">
        <f t="shared" si="5"/>
        <v>38888.888888888891</v>
      </c>
      <c r="H84" s="71">
        <f t="shared" si="6"/>
        <v>18083</v>
      </c>
      <c r="I84" s="71">
        <f t="shared" si="7"/>
        <v>56971.888888888891</v>
      </c>
    </row>
    <row r="85" spans="5:9" x14ac:dyDescent="0.4">
      <c r="E85" s="70">
        <v>83</v>
      </c>
      <c r="F85" s="71">
        <f t="shared" si="4"/>
        <v>10811111.111111179</v>
      </c>
      <c r="G85" s="71">
        <f t="shared" si="5"/>
        <v>38888.888888888891</v>
      </c>
      <c r="H85" s="71">
        <f t="shared" si="6"/>
        <v>18019</v>
      </c>
      <c r="I85" s="71">
        <f t="shared" si="7"/>
        <v>56907.888888888891</v>
      </c>
    </row>
    <row r="86" spans="5:9" x14ac:dyDescent="0.4">
      <c r="E86" s="70">
        <v>84</v>
      </c>
      <c r="F86" s="71">
        <f t="shared" si="4"/>
        <v>10772222.222222291</v>
      </c>
      <c r="G86" s="71">
        <f t="shared" si="5"/>
        <v>38888.888888888891</v>
      </c>
      <c r="H86" s="71">
        <f t="shared" si="6"/>
        <v>17954</v>
      </c>
      <c r="I86" s="71">
        <f t="shared" si="7"/>
        <v>56842.888888888891</v>
      </c>
    </row>
    <row r="87" spans="5:9" x14ac:dyDescent="0.4">
      <c r="E87" s="70">
        <v>85</v>
      </c>
      <c r="F87" s="71">
        <f t="shared" si="4"/>
        <v>10733333.333333403</v>
      </c>
      <c r="G87" s="71">
        <f t="shared" si="5"/>
        <v>38888.888888888891</v>
      </c>
      <c r="H87" s="71">
        <f t="shared" si="6"/>
        <v>17889</v>
      </c>
      <c r="I87" s="71">
        <f t="shared" si="7"/>
        <v>56777.888888888891</v>
      </c>
    </row>
    <row r="88" spans="5:9" x14ac:dyDescent="0.4">
      <c r="E88" s="70">
        <v>86</v>
      </c>
      <c r="F88" s="71">
        <f t="shared" si="4"/>
        <v>10694444.444444515</v>
      </c>
      <c r="G88" s="71">
        <f t="shared" si="5"/>
        <v>38888.888888888891</v>
      </c>
      <c r="H88" s="71">
        <f t="shared" si="6"/>
        <v>17824</v>
      </c>
      <c r="I88" s="71">
        <f t="shared" si="7"/>
        <v>56712.888888888891</v>
      </c>
    </row>
    <row r="89" spans="5:9" x14ac:dyDescent="0.4">
      <c r="E89" s="70">
        <v>87</v>
      </c>
      <c r="F89" s="71">
        <f t="shared" si="4"/>
        <v>10655555.555555627</v>
      </c>
      <c r="G89" s="71">
        <f t="shared" si="5"/>
        <v>38888.888888888891</v>
      </c>
      <c r="H89" s="71">
        <f t="shared" si="6"/>
        <v>17759</v>
      </c>
      <c r="I89" s="71">
        <f t="shared" si="7"/>
        <v>56647.888888888891</v>
      </c>
    </row>
    <row r="90" spans="5:9" x14ac:dyDescent="0.4">
      <c r="E90" s="70">
        <v>88</v>
      </c>
      <c r="F90" s="71">
        <f t="shared" si="4"/>
        <v>10616666.666666739</v>
      </c>
      <c r="G90" s="71">
        <f t="shared" si="5"/>
        <v>38888.888888888891</v>
      </c>
      <c r="H90" s="71">
        <f t="shared" si="6"/>
        <v>17694</v>
      </c>
      <c r="I90" s="71">
        <f t="shared" si="7"/>
        <v>56582.888888888891</v>
      </c>
    </row>
    <row r="91" spans="5:9" x14ac:dyDescent="0.4">
      <c r="E91" s="70">
        <v>89</v>
      </c>
      <c r="F91" s="71">
        <f t="shared" si="4"/>
        <v>10577777.777777851</v>
      </c>
      <c r="G91" s="71">
        <f t="shared" si="5"/>
        <v>38888.888888888891</v>
      </c>
      <c r="H91" s="71">
        <f t="shared" si="6"/>
        <v>17630</v>
      </c>
      <c r="I91" s="71">
        <f t="shared" si="7"/>
        <v>56518.888888888891</v>
      </c>
    </row>
    <row r="92" spans="5:9" x14ac:dyDescent="0.4">
      <c r="E92" s="70">
        <v>90</v>
      </c>
      <c r="F92" s="71">
        <f t="shared" si="4"/>
        <v>10538888.888888963</v>
      </c>
      <c r="G92" s="71">
        <f t="shared" si="5"/>
        <v>38888.888888888891</v>
      </c>
      <c r="H92" s="71">
        <f t="shared" si="6"/>
        <v>17565</v>
      </c>
      <c r="I92" s="71">
        <f t="shared" si="7"/>
        <v>56453.888888888891</v>
      </c>
    </row>
    <row r="93" spans="5:9" x14ac:dyDescent="0.4">
      <c r="E93" s="70">
        <v>91</v>
      </c>
      <c r="F93" s="71">
        <f t="shared" si="4"/>
        <v>10500000.000000075</v>
      </c>
      <c r="G93" s="71">
        <f t="shared" si="5"/>
        <v>38888.888888888891</v>
      </c>
      <c r="H93" s="71">
        <f t="shared" si="6"/>
        <v>17500</v>
      </c>
      <c r="I93" s="71">
        <f t="shared" si="7"/>
        <v>56388.888888888891</v>
      </c>
    </row>
    <row r="94" spans="5:9" x14ac:dyDescent="0.4">
      <c r="E94" s="70">
        <v>92</v>
      </c>
      <c r="F94" s="71">
        <f t="shared" si="4"/>
        <v>10461111.111111186</v>
      </c>
      <c r="G94" s="71">
        <f t="shared" si="5"/>
        <v>38888.888888888891</v>
      </c>
      <c r="H94" s="71">
        <f t="shared" si="6"/>
        <v>17435</v>
      </c>
      <c r="I94" s="71">
        <f t="shared" si="7"/>
        <v>56323.888888888891</v>
      </c>
    </row>
    <row r="95" spans="5:9" x14ac:dyDescent="0.4">
      <c r="E95" s="70">
        <v>93</v>
      </c>
      <c r="F95" s="71">
        <f t="shared" si="4"/>
        <v>10422222.222222298</v>
      </c>
      <c r="G95" s="71">
        <f t="shared" si="5"/>
        <v>38888.888888888891</v>
      </c>
      <c r="H95" s="71">
        <f t="shared" si="6"/>
        <v>17370</v>
      </c>
      <c r="I95" s="71">
        <f t="shared" si="7"/>
        <v>56258.888888888891</v>
      </c>
    </row>
    <row r="96" spans="5:9" x14ac:dyDescent="0.4">
      <c r="E96" s="70">
        <v>94</v>
      </c>
      <c r="F96" s="71">
        <f t="shared" si="4"/>
        <v>10383333.33333341</v>
      </c>
      <c r="G96" s="71">
        <f t="shared" si="5"/>
        <v>38888.888888888891</v>
      </c>
      <c r="H96" s="71">
        <f t="shared" si="6"/>
        <v>17306</v>
      </c>
      <c r="I96" s="71">
        <f t="shared" si="7"/>
        <v>56194.888888888891</v>
      </c>
    </row>
    <row r="97" spans="5:9" x14ac:dyDescent="0.4">
      <c r="E97" s="70">
        <v>95</v>
      </c>
      <c r="F97" s="71">
        <f t="shared" si="4"/>
        <v>10344444.444444522</v>
      </c>
      <c r="G97" s="71">
        <f t="shared" si="5"/>
        <v>38888.888888888891</v>
      </c>
      <c r="H97" s="71">
        <f t="shared" si="6"/>
        <v>17241</v>
      </c>
      <c r="I97" s="71">
        <f t="shared" si="7"/>
        <v>56129.888888888891</v>
      </c>
    </row>
    <row r="98" spans="5:9" x14ac:dyDescent="0.4">
      <c r="E98" s="70">
        <v>96</v>
      </c>
      <c r="F98" s="71">
        <f t="shared" si="4"/>
        <v>10305555.555555634</v>
      </c>
      <c r="G98" s="71">
        <f t="shared" si="5"/>
        <v>38888.888888888891</v>
      </c>
      <c r="H98" s="71">
        <f t="shared" si="6"/>
        <v>17176</v>
      </c>
      <c r="I98" s="71">
        <f t="shared" si="7"/>
        <v>56064.888888888891</v>
      </c>
    </row>
    <row r="99" spans="5:9" x14ac:dyDescent="0.4">
      <c r="E99" s="70">
        <v>97</v>
      </c>
      <c r="F99" s="71">
        <f t="shared" si="4"/>
        <v>10266666.666666746</v>
      </c>
      <c r="G99" s="71">
        <f t="shared" si="5"/>
        <v>38888.888888888891</v>
      </c>
      <c r="H99" s="71">
        <f t="shared" si="6"/>
        <v>17111</v>
      </c>
      <c r="I99" s="71">
        <f t="shared" si="7"/>
        <v>55999.888888888891</v>
      </c>
    </row>
    <row r="100" spans="5:9" x14ac:dyDescent="0.4">
      <c r="E100" s="70">
        <v>98</v>
      </c>
      <c r="F100" s="71">
        <f t="shared" si="4"/>
        <v>10227777.777777858</v>
      </c>
      <c r="G100" s="71">
        <f t="shared" si="5"/>
        <v>38888.888888888891</v>
      </c>
      <c r="H100" s="71">
        <f t="shared" si="6"/>
        <v>17046</v>
      </c>
      <c r="I100" s="71">
        <f t="shared" si="7"/>
        <v>55934.888888888891</v>
      </c>
    </row>
    <row r="101" spans="5:9" x14ac:dyDescent="0.4">
      <c r="E101" s="70">
        <v>99</v>
      </c>
      <c r="F101" s="71">
        <f t="shared" si="4"/>
        <v>10188888.88888897</v>
      </c>
      <c r="G101" s="71">
        <f t="shared" si="5"/>
        <v>38888.888888888891</v>
      </c>
      <c r="H101" s="71">
        <f t="shared" si="6"/>
        <v>16981</v>
      </c>
      <c r="I101" s="71">
        <f t="shared" si="7"/>
        <v>55869.888888888891</v>
      </c>
    </row>
    <row r="102" spans="5:9" x14ac:dyDescent="0.4">
      <c r="E102" s="70">
        <v>100</v>
      </c>
      <c r="F102" s="71">
        <f t="shared" si="4"/>
        <v>10150000.000000082</v>
      </c>
      <c r="G102" s="71">
        <f t="shared" si="5"/>
        <v>38888.888888888891</v>
      </c>
      <c r="H102" s="71">
        <f t="shared" si="6"/>
        <v>16917</v>
      </c>
      <c r="I102" s="71">
        <f t="shared" si="7"/>
        <v>55805.888888888891</v>
      </c>
    </row>
    <row r="103" spans="5:9" x14ac:dyDescent="0.4">
      <c r="E103" s="70">
        <v>101</v>
      </c>
      <c r="F103" s="71">
        <f t="shared" si="4"/>
        <v>10111111.111111194</v>
      </c>
      <c r="G103" s="71">
        <f t="shared" si="5"/>
        <v>38888.888888888891</v>
      </c>
      <c r="H103" s="71">
        <f t="shared" si="6"/>
        <v>16852</v>
      </c>
      <c r="I103" s="71">
        <f t="shared" si="7"/>
        <v>55740.888888888891</v>
      </c>
    </row>
    <row r="104" spans="5:9" x14ac:dyDescent="0.4">
      <c r="E104" s="70">
        <v>102</v>
      </c>
      <c r="F104" s="71">
        <f t="shared" si="4"/>
        <v>10072222.222222306</v>
      </c>
      <c r="G104" s="71">
        <f t="shared" si="5"/>
        <v>38888.888888888891</v>
      </c>
      <c r="H104" s="71">
        <f t="shared" si="6"/>
        <v>16787</v>
      </c>
      <c r="I104" s="71">
        <f t="shared" si="7"/>
        <v>55675.888888888891</v>
      </c>
    </row>
    <row r="105" spans="5:9" x14ac:dyDescent="0.4">
      <c r="E105" s="70">
        <v>103</v>
      </c>
      <c r="F105" s="71">
        <f t="shared" si="4"/>
        <v>10033333.333333418</v>
      </c>
      <c r="G105" s="71">
        <f t="shared" si="5"/>
        <v>38888.888888888891</v>
      </c>
      <c r="H105" s="71">
        <f t="shared" si="6"/>
        <v>16722</v>
      </c>
      <c r="I105" s="71">
        <f t="shared" si="7"/>
        <v>55610.888888888891</v>
      </c>
    </row>
    <row r="106" spans="5:9" x14ac:dyDescent="0.4">
      <c r="E106" s="70">
        <v>104</v>
      </c>
      <c r="F106" s="71">
        <f t="shared" si="4"/>
        <v>9994444.4444445297</v>
      </c>
      <c r="G106" s="71">
        <f t="shared" si="5"/>
        <v>38888.888888888891</v>
      </c>
      <c r="H106" s="71">
        <f t="shared" si="6"/>
        <v>16657</v>
      </c>
      <c r="I106" s="71">
        <f t="shared" si="7"/>
        <v>55545.888888888891</v>
      </c>
    </row>
    <row r="107" spans="5:9" x14ac:dyDescent="0.4">
      <c r="E107" s="70">
        <v>105</v>
      </c>
      <c r="F107" s="71">
        <f t="shared" si="4"/>
        <v>9955555.5555556417</v>
      </c>
      <c r="G107" s="71">
        <f t="shared" si="5"/>
        <v>38888.888888888891</v>
      </c>
      <c r="H107" s="71">
        <f t="shared" si="6"/>
        <v>16593</v>
      </c>
      <c r="I107" s="71">
        <f t="shared" si="7"/>
        <v>55481.888888888891</v>
      </c>
    </row>
    <row r="108" spans="5:9" x14ac:dyDescent="0.4">
      <c r="E108" s="70">
        <v>106</v>
      </c>
      <c r="F108" s="71">
        <f t="shared" si="4"/>
        <v>9916666.6666667536</v>
      </c>
      <c r="G108" s="71">
        <f t="shared" si="5"/>
        <v>38888.888888888891</v>
      </c>
      <c r="H108" s="71">
        <f t="shared" si="6"/>
        <v>16528</v>
      </c>
      <c r="I108" s="71">
        <f t="shared" si="7"/>
        <v>55416.888888888891</v>
      </c>
    </row>
    <row r="109" spans="5:9" x14ac:dyDescent="0.4">
      <c r="E109" s="70">
        <v>107</v>
      </c>
      <c r="F109" s="71">
        <f t="shared" si="4"/>
        <v>9877777.7777778655</v>
      </c>
      <c r="G109" s="71">
        <f t="shared" si="5"/>
        <v>38888.888888888891</v>
      </c>
      <c r="H109" s="71">
        <f t="shared" si="6"/>
        <v>16463</v>
      </c>
      <c r="I109" s="71">
        <f t="shared" si="7"/>
        <v>55351.888888888891</v>
      </c>
    </row>
    <row r="110" spans="5:9" x14ac:dyDescent="0.4">
      <c r="E110" s="70">
        <v>108</v>
      </c>
      <c r="F110" s="71">
        <f t="shared" si="4"/>
        <v>9838888.8888889775</v>
      </c>
      <c r="G110" s="71">
        <f t="shared" si="5"/>
        <v>38888.888888888891</v>
      </c>
      <c r="H110" s="71">
        <f t="shared" si="6"/>
        <v>16398</v>
      </c>
      <c r="I110" s="71">
        <f t="shared" si="7"/>
        <v>55286.888888888891</v>
      </c>
    </row>
    <row r="111" spans="5:9" x14ac:dyDescent="0.4">
      <c r="E111" s="70">
        <v>109</v>
      </c>
      <c r="F111" s="71">
        <f t="shared" si="4"/>
        <v>9800000.0000000894</v>
      </c>
      <c r="G111" s="71">
        <f t="shared" si="5"/>
        <v>38888.888888888891</v>
      </c>
      <c r="H111" s="71">
        <f t="shared" si="6"/>
        <v>16333</v>
      </c>
      <c r="I111" s="71">
        <f t="shared" si="7"/>
        <v>55221.888888888891</v>
      </c>
    </row>
    <row r="112" spans="5:9" x14ac:dyDescent="0.4">
      <c r="E112" s="70">
        <v>110</v>
      </c>
      <c r="F112" s="71">
        <f t="shared" si="4"/>
        <v>9761111.1111112013</v>
      </c>
      <c r="G112" s="71">
        <f t="shared" si="5"/>
        <v>38888.888888888891</v>
      </c>
      <c r="H112" s="71">
        <f t="shared" si="6"/>
        <v>16269</v>
      </c>
      <c r="I112" s="71">
        <f t="shared" si="7"/>
        <v>55157.888888888891</v>
      </c>
    </row>
    <row r="113" spans="5:9" x14ac:dyDescent="0.4">
      <c r="E113" s="70">
        <v>111</v>
      </c>
      <c r="F113" s="71">
        <f t="shared" si="4"/>
        <v>9722222.2222223133</v>
      </c>
      <c r="G113" s="71">
        <f t="shared" si="5"/>
        <v>38888.888888888891</v>
      </c>
      <c r="H113" s="71">
        <f t="shared" si="6"/>
        <v>16204</v>
      </c>
      <c r="I113" s="71">
        <f t="shared" si="7"/>
        <v>55092.888888888891</v>
      </c>
    </row>
    <row r="114" spans="5:9" x14ac:dyDescent="0.4">
      <c r="E114" s="70">
        <v>112</v>
      </c>
      <c r="F114" s="71">
        <f t="shared" si="4"/>
        <v>9683333.3333334252</v>
      </c>
      <c r="G114" s="71">
        <f t="shared" si="5"/>
        <v>38888.888888888891</v>
      </c>
      <c r="H114" s="71">
        <f t="shared" si="6"/>
        <v>16139</v>
      </c>
      <c r="I114" s="71">
        <f t="shared" si="7"/>
        <v>55027.888888888891</v>
      </c>
    </row>
    <row r="115" spans="5:9" x14ac:dyDescent="0.4">
      <c r="E115" s="70">
        <v>113</v>
      </c>
      <c r="F115" s="71">
        <f t="shared" si="4"/>
        <v>9644444.4444445372</v>
      </c>
      <c r="G115" s="71">
        <f t="shared" si="5"/>
        <v>38888.888888888891</v>
      </c>
      <c r="H115" s="71">
        <f t="shared" si="6"/>
        <v>16074</v>
      </c>
      <c r="I115" s="71">
        <f t="shared" si="7"/>
        <v>54962.888888888891</v>
      </c>
    </row>
    <row r="116" spans="5:9" x14ac:dyDescent="0.4">
      <c r="E116" s="70">
        <v>114</v>
      </c>
      <c r="F116" s="71">
        <f t="shared" si="4"/>
        <v>9605555.5555556491</v>
      </c>
      <c r="G116" s="71">
        <f t="shared" si="5"/>
        <v>38888.888888888891</v>
      </c>
      <c r="H116" s="71">
        <f t="shared" si="6"/>
        <v>16009</v>
      </c>
      <c r="I116" s="71">
        <f t="shared" si="7"/>
        <v>54897.888888888891</v>
      </c>
    </row>
    <row r="117" spans="5:9" x14ac:dyDescent="0.4">
      <c r="E117" s="70">
        <v>115</v>
      </c>
      <c r="F117" s="71">
        <f t="shared" si="4"/>
        <v>9566666.666666761</v>
      </c>
      <c r="G117" s="71">
        <f t="shared" si="5"/>
        <v>38888.888888888891</v>
      </c>
      <c r="H117" s="71">
        <f t="shared" si="6"/>
        <v>15944</v>
      </c>
      <c r="I117" s="71">
        <f t="shared" si="7"/>
        <v>54832.888888888891</v>
      </c>
    </row>
    <row r="118" spans="5:9" x14ac:dyDescent="0.4">
      <c r="E118" s="70">
        <v>116</v>
      </c>
      <c r="F118" s="71">
        <f t="shared" si="4"/>
        <v>9527777.777777873</v>
      </c>
      <c r="G118" s="71">
        <f t="shared" si="5"/>
        <v>38888.888888888891</v>
      </c>
      <c r="H118" s="71">
        <f t="shared" si="6"/>
        <v>15880</v>
      </c>
      <c r="I118" s="71">
        <f t="shared" si="7"/>
        <v>54768.888888888891</v>
      </c>
    </row>
    <row r="119" spans="5:9" x14ac:dyDescent="0.4">
      <c r="E119" s="70">
        <v>117</v>
      </c>
      <c r="F119" s="71">
        <f t="shared" si="4"/>
        <v>9488888.8888889849</v>
      </c>
      <c r="G119" s="71">
        <f t="shared" si="5"/>
        <v>38888.888888888891</v>
      </c>
      <c r="H119" s="71">
        <f t="shared" si="6"/>
        <v>15815</v>
      </c>
      <c r="I119" s="71">
        <f t="shared" si="7"/>
        <v>54703.888888888891</v>
      </c>
    </row>
    <row r="120" spans="5:9" x14ac:dyDescent="0.4">
      <c r="E120" s="70">
        <v>118</v>
      </c>
      <c r="F120" s="71">
        <f t="shared" si="4"/>
        <v>9450000.0000000969</v>
      </c>
      <c r="G120" s="71">
        <f t="shared" si="5"/>
        <v>38888.888888888891</v>
      </c>
      <c r="H120" s="71">
        <f t="shared" si="6"/>
        <v>15750</v>
      </c>
      <c r="I120" s="71">
        <f t="shared" si="7"/>
        <v>54638.888888888891</v>
      </c>
    </row>
    <row r="121" spans="5:9" x14ac:dyDescent="0.4">
      <c r="E121" s="70">
        <v>119</v>
      </c>
      <c r="F121" s="71">
        <f t="shared" si="4"/>
        <v>9411111.1111112088</v>
      </c>
      <c r="G121" s="71">
        <f t="shared" si="5"/>
        <v>38888.888888888891</v>
      </c>
      <c r="H121" s="71">
        <f t="shared" si="6"/>
        <v>15685</v>
      </c>
      <c r="I121" s="71">
        <f t="shared" si="7"/>
        <v>54573.888888888891</v>
      </c>
    </row>
    <row r="122" spans="5:9" x14ac:dyDescent="0.4">
      <c r="E122" s="70">
        <v>120</v>
      </c>
      <c r="F122" s="71">
        <f t="shared" si="4"/>
        <v>9372222.2222223207</v>
      </c>
      <c r="G122" s="71">
        <f t="shared" si="5"/>
        <v>38888.888888888891</v>
      </c>
      <c r="H122" s="71">
        <f t="shared" si="6"/>
        <v>15620</v>
      </c>
      <c r="I122" s="71">
        <f t="shared" si="7"/>
        <v>54508.888888888891</v>
      </c>
    </row>
    <row r="123" spans="5:9" x14ac:dyDescent="0.4">
      <c r="E123" s="70">
        <v>121</v>
      </c>
      <c r="F123" s="71">
        <f t="shared" si="4"/>
        <v>9333333.3333334327</v>
      </c>
      <c r="G123" s="71">
        <f t="shared" si="5"/>
        <v>38888.888888888891</v>
      </c>
      <c r="H123" s="71">
        <f t="shared" si="6"/>
        <v>15556</v>
      </c>
      <c r="I123" s="71">
        <f t="shared" si="7"/>
        <v>54444.888888888891</v>
      </c>
    </row>
    <row r="124" spans="5:9" x14ac:dyDescent="0.4">
      <c r="E124" s="70">
        <v>122</v>
      </c>
      <c r="F124" s="71">
        <f t="shared" si="4"/>
        <v>9294444.4444445446</v>
      </c>
      <c r="G124" s="71">
        <f t="shared" si="5"/>
        <v>38888.888888888891</v>
      </c>
      <c r="H124" s="71">
        <f t="shared" si="6"/>
        <v>15491</v>
      </c>
      <c r="I124" s="71">
        <f t="shared" si="7"/>
        <v>54379.888888888891</v>
      </c>
    </row>
    <row r="125" spans="5:9" x14ac:dyDescent="0.4">
      <c r="E125" s="70">
        <v>123</v>
      </c>
      <c r="F125" s="71">
        <f t="shared" si="4"/>
        <v>9255555.5555556566</v>
      </c>
      <c r="G125" s="71">
        <f t="shared" si="5"/>
        <v>38888.888888888891</v>
      </c>
      <c r="H125" s="71">
        <f t="shared" si="6"/>
        <v>15426</v>
      </c>
      <c r="I125" s="71">
        <f t="shared" si="7"/>
        <v>54314.888888888891</v>
      </c>
    </row>
    <row r="126" spans="5:9" x14ac:dyDescent="0.4">
      <c r="E126" s="70">
        <v>124</v>
      </c>
      <c r="F126" s="71">
        <f t="shared" si="4"/>
        <v>9216666.6666667685</v>
      </c>
      <c r="G126" s="71">
        <f t="shared" si="5"/>
        <v>38888.888888888891</v>
      </c>
      <c r="H126" s="71">
        <f t="shared" si="6"/>
        <v>15361</v>
      </c>
      <c r="I126" s="71">
        <f t="shared" si="7"/>
        <v>54249.888888888891</v>
      </c>
    </row>
    <row r="127" spans="5:9" x14ac:dyDescent="0.4">
      <c r="E127" s="70">
        <v>125</v>
      </c>
      <c r="F127" s="71">
        <f t="shared" si="4"/>
        <v>9177777.7777778804</v>
      </c>
      <c r="G127" s="71">
        <f t="shared" si="5"/>
        <v>38888.888888888891</v>
      </c>
      <c r="H127" s="71">
        <f t="shared" si="6"/>
        <v>15296</v>
      </c>
      <c r="I127" s="71">
        <f t="shared" si="7"/>
        <v>54184.888888888891</v>
      </c>
    </row>
    <row r="128" spans="5:9" x14ac:dyDescent="0.4">
      <c r="E128" s="70">
        <v>126</v>
      </c>
      <c r="F128" s="71">
        <f t="shared" si="4"/>
        <v>9138888.8888889924</v>
      </c>
      <c r="G128" s="71">
        <f t="shared" si="5"/>
        <v>38888.888888888891</v>
      </c>
      <c r="H128" s="71">
        <f t="shared" si="6"/>
        <v>15231</v>
      </c>
      <c r="I128" s="71">
        <f t="shared" si="7"/>
        <v>54119.888888888891</v>
      </c>
    </row>
    <row r="129" spans="5:9" x14ac:dyDescent="0.4">
      <c r="E129" s="70">
        <v>127</v>
      </c>
      <c r="F129" s="71">
        <f t="shared" si="4"/>
        <v>9100000.0000001043</v>
      </c>
      <c r="G129" s="71">
        <f t="shared" si="5"/>
        <v>38888.888888888891</v>
      </c>
      <c r="H129" s="71">
        <f t="shared" si="6"/>
        <v>15167</v>
      </c>
      <c r="I129" s="71">
        <f t="shared" si="7"/>
        <v>54055.888888888891</v>
      </c>
    </row>
    <row r="130" spans="5:9" x14ac:dyDescent="0.4">
      <c r="E130" s="70">
        <v>128</v>
      </c>
      <c r="F130" s="71">
        <f t="shared" si="4"/>
        <v>9061111.1111112162</v>
      </c>
      <c r="G130" s="71">
        <f t="shared" si="5"/>
        <v>38888.888888888891</v>
      </c>
      <c r="H130" s="71">
        <f t="shared" si="6"/>
        <v>15102</v>
      </c>
      <c r="I130" s="71">
        <f t="shared" si="7"/>
        <v>53990.888888888891</v>
      </c>
    </row>
    <row r="131" spans="5:9" x14ac:dyDescent="0.4">
      <c r="E131" s="70">
        <v>129</v>
      </c>
      <c r="F131" s="71">
        <f t="shared" si="4"/>
        <v>9022222.2222223282</v>
      </c>
      <c r="G131" s="71">
        <f t="shared" si="5"/>
        <v>38888.888888888891</v>
      </c>
      <c r="H131" s="71">
        <f t="shared" si="6"/>
        <v>15037</v>
      </c>
      <c r="I131" s="71">
        <f t="shared" si="7"/>
        <v>53925.888888888891</v>
      </c>
    </row>
    <row r="132" spans="5:9" x14ac:dyDescent="0.4">
      <c r="E132" s="70">
        <v>130</v>
      </c>
      <c r="F132" s="71">
        <f t="shared" ref="F132:F195" si="8">IF($E132&gt;$B$7*12,"",F131-G131)</f>
        <v>8983333.3333334401</v>
      </c>
      <c r="G132" s="71">
        <f t="shared" ref="G132:G195" si="9">IF($E132&gt;$B$7*12,"",G131)</f>
        <v>38888.888888888891</v>
      </c>
      <c r="H132" s="71">
        <f t="shared" ref="H132:H195" si="10">IF($E132&gt;$B$7*12,"",ROUND(F132*($B$8/12),0))</f>
        <v>14972</v>
      </c>
      <c r="I132" s="71">
        <f t="shared" ref="I132:I195" si="11">IF($E132&gt;$B$7*12,"",G132+H132)</f>
        <v>53860.888888888891</v>
      </c>
    </row>
    <row r="133" spans="5:9" x14ac:dyDescent="0.4">
      <c r="E133" s="70">
        <v>131</v>
      </c>
      <c r="F133" s="71">
        <f t="shared" si="8"/>
        <v>8944444.4444445521</v>
      </c>
      <c r="G133" s="71">
        <f t="shared" si="9"/>
        <v>38888.888888888891</v>
      </c>
      <c r="H133" s="71">
        <f t="shared" si="10"/>
        <v>14907</v>
      </c>
      <c r="I133" s="71">
        <f t="shared" si="11"/>
        <v>53795.888888888891</v>
      </c>
    </row>
    <row r="134" spans="5:9" x14ac:dyDescent="0.4">
      <c r="E134" s="70">
        <v>132</v>
      </c>
      <c r="F134" s="71">
        <f t="shared" si="8"/>
        <v>8905555.555555664</v>
      </c>
      <c r="G134" s="71">
        <f t="shared" si="9"/>
        <v>38888.888888888891</v>
      </c>
      <c r="H134" s="71">
        <f t="shared" si="10"/>
        <v>14843</v>
      </c>
      <c r="I134" s="71">
        <f t="shared" si="11"/>
        <v>53731.888888888891</v>
      </c>
    </row>
    <row r="135" spans="5:9" x14ac:dyDescent="0.4">
      <c r="E135" s="70">
        <v>133</v>
      </c>
      <c r="F135" s="71">
        <f t="shared" si="8"/>
        <v>8866666.6666667759</v>
      </c>
      <c r="G135" s="71">
        <f t="shared" si="9"/>
        <v>38888.888888888891</v>
      </c>
      <c r="H135" s="71">
        <f t="shared" si="10"/>
        <v>14778</v>
      </c>
      <c r="I135" s="71">
        <f t="shared" si="11"/>
        <v>53666.888888888891</v>
      </c>
    </row>
    <row r="136" spans="5:9" x14ac:dyDescent="0.4">
      <c r="E136" s="70">
        <v>134</v>
      </c>
      <c r="F136" s="71">
        <f t="shared" si="8"/>
        <v>8827777.7777778879</v>
      </c>
      <c r="G136" s="71">
        <f t="shared" si="9"/>
        <v>38888.888888888891</v>
      </c>
      <c r="H136" s="71">
        <f t="shared" si="10"/>
        <v>14713</v>
      </c>
      <c r="I136" s="71">
        <f t="shared" si="11"/>
        <v>53601.888888888891</v>
      </c>
    </row>
    <row r="137" spans="5:9" x14ac:dyDescent="0.4">
      <c r="E137" s="70">
        <v>135</v>
      </c>
      <c r="F137" s="71">
        <f t="shared" si="8"/>
        <v>8788888.8888889998</v>
      </c>
      <c r="G137" s="71">
        <f t="shared" si="9"/>
        <v>38888.888888888891</v>
      </c>
      <c r="H137" s="71">
        <f t="shared" si="10"/>
        <v>14648</v>
      </c>
      <c r="I137" s="71">
        <f t="shared" si="11"/>
        <v>53536.888888888891</v>
      </c>
    </row>
    <row r="138" spans="5:9" x14ac:dyDescent="0.4">
      <c r="E138" s="70">
        <v>136</v>
      </c>
      <c r="F138" s="71">
        <f t="shared" si="8"/>
        <v>8750000.0000001118</v>
      </c>
      <c r="G138" s="71">
        <f t="shared" si="9"/>
        <v>38888.888888888891</v>
      </c>
      <c r="H138" s="71">
        <f t="shared" si="10"/>
        <v>14583</v>
      </c>
      <c r="I138" s="71">
        <f t="shared" si="11"/>
        <v>53471.888888888891</v>
      </c>
    </row>
    <row r="139" spans="5:9" x14ac:dyDescent="0.4">
      <c r="E139" s="70">
        <v>137</v>
      </c>
      <c r="F139" s="71">
        <f t="shared" si="8"/>
        <v>8711111.1111112237</v>
      </c>
      <c r="G139" s="71">
        <f t="shared" si="9"/>
        <v>38888.888888888891</v>
      </c>
      <c r="H139" s="71">
        <f t="shared" si="10"/>
        <v>14519</v>
      </c>
      <c r="I139" s="71">
        <f t="shared" si="11"/>
        <v>53407.888888888891</v>
      </c>
    </row>
    <row r="140" spans="5:9" x14ac:dyDescent="0.4">
      <c r="E140" s="70">
        <v>138</v>
      </c>
      <c r="F140" s="71">
        <f t="shared" si="8"/>
        <v>8672222.2222223356</v>
      </c>
      <c r="G140" s="71">
        <f t="shared" si="9"/>
        <v>38888.888888888891</v>
      </c>
      <c r="H140" s="71">
        <f t="shared" si="10"/>
        <v>14454</v>
      </c>
      <c r="I140" s="71">
        <f t="shared" si="11"/>
        <v>53342.888888888891</v>
      </c>
    </row>
    <row r="141" spans="5:9" x14ac:dyDescent="0.4">
      <c r="E141" s="70">
        <v>139</v>
      </c>
      <c r="F141" s="71">
        <f t="shared" si="8"/>
        <v>8633333.3333334476</v>
      </c>
      <c r="G141" s="71">
        <f t="shared" si="9"/>
        <v>38888.888888888891</v>
      </c>
      <c r="H141" s="71">
        <f t="shared" si="10"/>
        <v>14389</v>
      </c>
      <c r="I141" s="71">
        <f t="shared" si="11"/>
        <v>53277.888888888891</v>
      </c>
    </row>
    <row r="142" spans="5:9" x14ac:dyDescent="0.4">
      <c r="E142" s="70">
        <v>140</v>
      </c>
      <c r="F142" s="71">
        <f t="shared" si="8"/>
        <v>8594444.4444445595</v>
      </c>
      <c r="G142" s="71">
        <f t="shared" si="9"/>
        <v>38888.888888888891</v>
      </c>
      <c r="H142" s="71">
        <f t="shared" si="10"/>
        <v>14324</v>
      </c>
      <c r="I142" s="71">
        <f t="shared" si="11"/>
        <v>53212.888888888891</v>
      </c>
    </row>
    <row r="143" spans="5:9" x14ac:dyDescent="0.4">
      <c r="E143" s="70">
        <v>141</v>
      </c>
      <c r="F143" s="71">
        <f t="shared" si="8"/>
        <v>8555555.5555556715</v>
      </c>
      <c r="G143" s="71">
        <f t="shared" si="9"/>
        <v>38888.888888888891</v>
      </c>
      <c r="H143" s="71">
        <f t="shared" si="10"/>
        <v>14259</v>
      </c>
      <c r="I143" s="71">
        <f t="shared" si="11"/>
        <v>53147.888888888891</v>
      </c>
    </row>
    <row r="144" spans="5:9" x14ac:dyDescent="0.4">
      <c r="E144" s="70">
        <v>142</v>
      </c>
      <c r="F144" s="71">
        <f t="shared" si="8"/>
        <v>8516666.6666667834</v>
      </c>
      <c r="G144" s="71">
        <f t="shared" si="9"/>
        <v>38888.888888888891</v>
      </c>
      <c r="H144" s="71">
        <f t="shared" si="10"/>
        <v>14194</v>
      </c>
      <c r="I144" s="71">
        <f t="shared" si="11"/>
        <v>53082.888888888891</v>
      </c>
    </row>
    <row r="145" spans="5:9" x14ac:dyDescent="0.4">
      <c r="E145" s="70">
        <v>143</v>
      </c>
      <c r="F145" s="71">
        <f t="shared" si="8"/>
        <v>8477777.7777778953</v>
      </c>
      <c r="G145" s="71">
        <f t="shared" si="9"/>
        <v>38888.888888888891</v>
      </c>
      <c r="H145" s="71">
        <f t="shared" si="10"/>
        <v>14130</v>
      </c>
      <c r="I145" s="71">
        <f t="shared" si="11"/>
        <v>53018.888888888891</v>
      </c>
    </row>
    <row r="146" spans="5:9" x14ac:dyDescent="0.4">
      <c r="E146" s="70">
        <v>144</v>
      </c>
      <c r="F146" s="71">
        <f t="shared" si="8"/>
        <v>8438888.8888890073</v>
      </c>
      <c r="G146" s="71">
        <f t="shared" si="9"/>
        <v>38888.888888888891</v>
      </c>
      <c r="H146" s="71">
        <f t="shared" si="10"/>
        <v>14065</v>
      </c>
      <c r="I146" s="71">
        <f t="shared" si="11"/>
        <v>52953.888888888891</v>
      </c>
    </row>
    <row r="147" spans="5:9" x14ac:dyDescent="0.4">
      <c r="E147" s="70">
        <v>145</v>
      </c>
      <c r="F147" s="71">
        <f t="shared" si="8"/>
        <v>8400000.0000001192</v>
      </c>
      <c r="G147" s="71">
        <f t="shared" si="9"/>
        <v>38888.888888888891</v>
      </c>
      <c r="H147" s="71">
        <f t="shared" si="10"/>
        <v>14000</v>
      </c>
      <c r="I147" s="71">
        <f t="shared" si="11"/>
        <v>52888.888888888891</v>
      </c>
    </row>
    <row r="148" spans="5:9" x14ac:dyDescent="0.4">
      <c r="E148" s="70">
        <v>146</v>
      </c>
      <c r="F148" s="71">
        <f t="shared" si="8"/>
        <v>8361111.1111112302</v>
      </c>
      <c r="G148" s="71">
        <f t="shared" si="9"/>
        <v>38888.888888888891</v>
      </c>
      <c r="H148" s="71">
        <f t="shared" si="10"/>
        <v>13935</v>
      </c>
      <c r="I148" s="71">
        <f t="shared" si="11"/>
        <v>52823.888888888891</v>
      </c>
    </row>
    <row r="149" spans="5:9" x14ac:dyDescent="0.4">
      <c r="E149" s="70">
        <v>147</v>
      </c>
      <c r="F149" s="71">
        <f t="shared" si="8"/>
        <v>8322222.2222223412</v>
      </c>
      <c r="G149" s="71">
        <f t="shared" si="9"/>
        <v>38888.888888888891</v>
      </c>
      <c r="H149" s="71">
        <f t="shared" si="10"/>
        <v>13870</v>
      </c>
      <c r="I149" s="71">
        <f t="shared" si="11"/>
        <v>52758.888888888891</v>
      </c>
    </row>
    <row r="150" spans="5:9" x14ac:dyDescent="0.4">
      <c r="E150" s="70">
        <v>148</v>
      </c>
      <c r="F150" s="71">
        <f t="shared" si="8"/>
        <v>8283333.3333334522</v>
      </c>
      <c r="G150" s="71">
        <f t="shared" si="9"/>
        <v>38888.888888888891</v>
      </c>
      <c r="H150" s="71">
        <f t="shared" si="10"/>
        <v>13806</v>
      </c>
      <c r="I150" s="71">
        <f t="shared" si="11"/>
        <v>52694.888888888891</v>
      </c>
    </row>
    <row r="151" spans="5:9" x14ac:dyDescent="0.4">
      <c r="E151" s="70">
        <v>149</v>
      </c>
      <c r="F151" s="71">
        <f t="shared" si="8"/>
        <v>8244444.4444445632</v>
      </c>
      <c r="G151" s="71">
        <f t="shared" si="9"/>
        <v>38888.888888888891</v>
      </c>
      <c r="H151" s="71">
        <f t="shared" si="10"/>
        <v>13741</v>
      </c>
      <c r="I151" s="71">
        <f t="shared" si="11"/>
        <v>52629.888888888891</v>
      </c>
    </row>
    <row r="152" spans="5:9" x14ac:dyDescent="0.4">
      <c r="E152" s="70">
        <v>150</v>
      </c>
      <c r="F152" s="71">
        <f t="shared" si="8"/>
        <v>8205555.5555556742</v>
      </c>
      <c r="G152" s="71">
        <f t="shared" si="9"/>
        <v>38888.888888888891</v>
      </c>
      <c r="H152" s="71">
        <f t="shared" si="10"/>
        <v>13676</v>
      </c>
      <c r="I152" s="71">
        <f t="shared" si="11"/>
        <v>52564.888888888891</v>
      </c>
    </row>
    <row r="153" spans="5:9" x14ac:dyDescent="0.4">
      <c r="E153" s="70">
        <v>151</v>
      </c>
      <c r="F153" s="71">
        <f t="shared" si="8"/>
        <v>8166666.6666667853</v>
      </c>
      <c r="G153" s="71">
        <f t="shared" si="9"/>
        <v>38888.888888888891</v>
      </c>
      <c r="H153" s="71">
        <f t="shared" si="10"/>
        <v>13611</v>
      </c>
      <c r="I153" s="71">
        <f t="shared" si="11"/>
        <v>52499.888888888891</v>
      </c>
    </row>
    <row r="154" spans="5:9" x14ac:dyDescent="0.4">
      <c r="E154" s="70">
        <v>152</v>
      </c>
      <c r="F154" s="71">
        <f t="shared" si="8"/>
        <v>8127777.7777778963</v>
      </c>
      <c r="G154" s="71">
        <f t="shared" si="9"/>
        <v>38888.888888888891</v>
      </c>
      <c r="H154" s="71">
        <f t="shared" si="10"/>
        <v>13546</v>
      </c>
      <c r="I154" s="71">
        <f t="shared" si="11"/>
        <v>52434.888888888891</v>
      </c>
    </row>
    <row r="155" spans="5:9" x14ac:dyDescent="0.4">
      <c r="E155" s="70">
        <v>153</v>
      </c>
      <c r="F155" s="71">
        <f t="shared" si="8"/>
        <v>8088888.8888890073</v>
      </c>
      <c r="G155" s="71">
        <f t="shared" si="9"/>
        <v>38888.888888888891</v>
      </c>
      <c r="H155" s="71">
        <f t="shared" si="10"/>
        <v>13481</v>
      </c>
      <c r="I155" s="71">
        <f t="shared" si="11"/>
        <v>52369.888888888891</v>
      </c>
    </row>
    <row r="156" spans="5:9" x14ac:dyDescent="0.4">
      <c r="E156" s="70">
        <v>154</v>
      </c>
      <c r="F156" s="71">
        <f t="shared" si="8"/>
        <v>8050000.0000001183</v>
      </c>
      <c r="G156" s="71">
        <f t="shared" si="9"/>
        <v>38888.888888888891</v>
      </c>
      <c r="H156" s="71">
        <f t="shared" si="10"/>
        <v>13417</v>
      </c>
      <c r="I156" s="71">
        <f t="shared" si="11"/>
        <v>52305.888888888891</v>
      </c>
    </row>
    <row r="157" spans="5:9" x14ac:dyDescent="0.4">
      <c r="E157" s="70">
        <v>155</v>
      </c>
      <c r="F157" s="71">
        <f t="shared" si="8"/>
        <v>8011111.1111112293</v>
      </c>
      <c r="G157" s="71">
        <f t="shared" si="9"/>
        <v>38888.888888888891</v>
      </c>
      <c r="H157" s="71">
        <f t="shared" si="10"/>
        <v>13352</v>
      </c>
      <c r="I157" s="71">
        <f t="shared" si="11"/>
        <v>52240.888888888891</v>
      </c>
    </row>
    <row r="158" spans="5:9" x14ac:dyDescent="0.4">
      <c r="E158" s="70">
        <v>156</v>
      </c>
      <c r="F158" s="71">
        <f t="shared" si="8"/>
        <v>7972222.2222223403</v>
      </c>
      <c r="G158" s="71">
        <f t="shared" si="9"/>
        <v>38888.888888888891</v>
      </c>
      <c r="H158" s="71">
        <f t="shared" si="10"/>
        <v>13287</v>
      </c>
      <c r="I158" s="71">
        <f t="shared" si="11"/>
        <v>52175.888888888891</v>
      </c>
    </row>
    <row r="159" spans="5:9" x14ac:dyDescent="0.4">
      <c r="E159" s="70">
        <v>157</v>
      </c>
      <c r="F159" s="71">
        <f t="shared" si="8"/>
        <v>7933333.3333334513</v>
      </c>
      <c r="G159" s="71">
        <f t="shared" si="9"/>
        <v>38888.888888888891</v>
      </c>
      <c r="H159" s="71">
        <f t="shared" si="10"/>
        <v>13222</v>
      </c>
      <c r="I159" s="71">
        <f t="shared" si="11"/>
        <v>52110.888888888891</v>
      </c>
    </row>
    <row r="160" spans="5:9" x14ac:dyDescent="0.4">
      <c r="E160" s="70">
        <v>158</v>
      </c>
      <c r="F160" s="71">
        <f t="shared" si="8"/>
        <v>7894444.4444445623</v>
      </c>
      <c r="G160" s="71">
        <f t="shared" si="9"/>
        <v>38888.888888888891</v>
      </c>
      <c r="H160" s="71">
        <f t="shared" si="10"/>
        <v>13157</v>
      </c>
      <c r="I160" s="71">
        <f t="shared" si="11"/>
        <v>52045.888888888891</v>
      </c>
    </row>
    <row r="161" spans="5:9" x14ac:dyDescent="0.4">
      <c r="E161" s="70">
        <v>159</v>
      </c>
      <c r="F161" s="71">
        <f t="shared" si="8"/>
        <v>7855555.5555556733</v>
      </c>
      <c r="G161" s="71">
        <f t="shared" si="9"/>
        <v>38888.888888888891</v>
      </c>
      <c r="H161" s="71">
        <f t="shared" si="10"/>
        <v>13093</v>
      </c>
      <c r="I161" s="71">
        <f t="shared" si="11"/>
        <v>51981.888888888891</v>
      </c>
    </row>
    <row r="162" spans="5:9" x14ac:dyDescent="0.4">
      <c r="E162" s="70">
        <v>160</v>
      </c>
      <c r="F162" s="71">
        <f t="shared" si="8"/>
        <v>7816666.6666667843</v>
      </c>
      <c r="G162" s="71">
        <f t="shared" si="9"/>
        <v>38888.888888888891</v>
      </c>
      <c r="H162" s="71">
        <f t="shared" si="10"/>
        <v>13028</v>
      </c>
      <c r="I162" s="71">
        <f t="shared" si="11"/>
        <v>51916.888888888891</v>
      </c>
    </row>
    <row r="163" spans="5:9" x14ac:dyDescent="0.4">
      <c r="E163" s="70">
        <v>161</v>
      </c>
      <c r="F163" s="71">
        <f t="shared" si="8"/>
        <v>7777777.7777778953</v>
      </c>
      <c r="G163" s="71">
        <f t="shared" si="9"/>
        <v>38888.888888888891</v>
      </c>
      <c r="H163" s="71">
        <f t="shared" si="10"/>
        <v>12963</v>
      </c>
      <c r="I163" s="71">
        <f t="shared" si="11"/>
        <v>51851.888888888891</v>
      </c>
    </row>
    <row r="164" spans="5:9" x14ac:dyDescent="0.4">
      <c r="E164" s="70">
        <v>162</v>
      </c>
      <c r="F164" s="71">
        <f t="shared" si="8"/>
        <v>7738888.8888890063</v>
      </c>
      <c r="G164" s="71">
        <f t="shared" si="9"/>
        <v>38888.888888888891</v>
      </c>
      <c r="H164" s="71">
        <f t="shared" si="10"/>
        <v>12898</v>
      </c>
      <c r="I164" s="71">
        <f t="shared" si="11"/>
        <v>51786.888888888891</v>
      </c>
    </row>
    <row r="165" spans="5:9" x14ac:dyDescent="0.4">
      <c r="E165" s="70">
        <v>163</v>
      </c>
      <c r="F165" s="71">
        <f t="shared" si="8"/>
        <v>7700000.0000001173</v>
      </c>
      <c r="G165" s="71">
        <f t="shared" si="9"/>
        <v>38888.888888888891</v>
      </c>
      <c r="H165" s="71">
        <f t="shared" si="10"/>
        <v>12833</v>
      </c>
      <c r="I165" s="71">
        <f t="shared" si="11"/>
        <v>51721.888888888891</v>
      </c>
    </row>
    <row r="166" spans="5:9" x14ac:dyDescent="0.4">
      <c r="E166" s="70">
        <v>164</v>
      </c>
      <c r="F166" s="71">
        <f t="shared" si="8"/>
        <v>7661111.1111112284</v>
      </c>
      <c r="G166" s="71">
        <f t="shared" si="9"/>
        <v>38888.888888888891</v>
      </c>
      <c r="H166" s="71">
        <f t="shared" si="10"/>
        <v>12769</v>
      </c>
      <c r="I166" s="71">
        <f t="shared" si="11"/>
        <v>51657.888888888891</v>
      </c>
    </row>
    <row r="167" spans="5:9" x14ac:dyDescent="0.4">
      <c r="E167" s="70">
        <v>165</v>
      </c>
      <c r="F167" s="71">
        <f t="shared" si="8"/>
        <v>7622222.2222223394</v>
      </c>
      <c r="G167" s="71">
        <f t="shared" si="9"/>
        <v>38888.888888888891</v>
      </c>
      <c r="H167" s="71">
        <f t="shared" si="10"/>
        <v>12704</v>
      </c>
      <c r="I167" s="71">
        <f t="shared" si="11"/>
        <v>51592.888888888891</v>
      </c>
    </row>
    <row r="168" spans="5:9" x14ac:dyDescent="0.4">
      <c r="E168" s="70">
        <v>166</v>
      </c>
      <c r="F168" s="71">
        <f t="shared" si="8"/>
        <v>7583333.3333334504</v>
      </c>
      <c r="G168" s="71">
        <f t="shared" si="9"/>
        <v>38888.888888888891</v>
      </c>
      <c r="H168" s="71">
        <f t="shared" si="10"/>
        <v>12639</v>
      </c>
      <c r="I168" s="71">
        <f t="shared" si="11"/>
        <v>51527.888888888891</v>
      </c>
    </row>
    <row r="169" spans="5:9" x14ac:dyDescent="0.4">
      <c r="E169" s="70">
        <v>167</v>
      </c>
      <c r="F169" s="71">
        <f t="shared" si="8"/>
        <v>7544444.4444445614</v>
      </c>
      <c r="G169" s="71">
        <f t="shared" si="9"/>
        <v>38888.888888888891</v>
      </c>
      <c r="H169" s="71">
        <f t="shared" si="10"/>
        <v>12574</v>
      </c>
      <c r="I169" s="71">
        <f t="shared" si="11"/>
        <v>51462.888888888891</v>
      </c>
    </row>
    <row r="170" spans="5:9" x14ac:dyDescent="0.4">
      <c r="E170" s="70">
        <v>168</v>
      </c>
      <c r="F170" s="71">
        <f t="shared" si="8"/>
        <v>7505555.5555556724</v>
      </c>
      <c r="G170" s="71">
        <f t="shared" si="9"/>
        <v>38888.888888888891</v>
      </c>
      <c r="H170" s="71">
        <f t="shared" si="10"/>
        <v>12509</v>
      </c>
      <c r="I170" s="71">
        <f t="shared" si="11"/>
        <v>51397.888888888891</v>
      </c>
    </row>
    <row r="171" spans="5:9" x14ac:dyDescent="0.4">
      <c r="E171" s="70">
        <v>169</v>
      </c>
      <c r="F171" s="71">
        <f t="shared" si="8"/>
        <v>7466666.6666667834</v>
      </c>
      <c r="G171" s="71">
        <f t="shared" si="9"/>
        <v>38888.888888888891</v>
      </c>
      <c r="H171" s="71">
        <f t="shared" si="10"/>
        <v>12444</v>
      </c>
      <c r="I171" s="71">
        <f t="shared" si="11"/>
        <v>51332.888888888891</v>
      </c>
    </row>
    <row r="172" spans="5:9" x14ac:dyDescent="0.4">
      <c r="E172" s="70">
        <v>170</v>
      </c>
      <c r="F172" s="71">
        <f t="shared" si="8"/>
        <v>7427777.7777778944</v>
      </c>
      <c r="G172" s="71">
        <f t="shared" si="9"/>
        <v>38888.888888888891</v>
      </c>
      <c r="H172" s="71">
        <f t="shared" si="10"/>
        <v>12380</v>
      </c>
      <c r="I172" s="71">
        <f t="shared" si="11"/>
        <v>51268.888888888891</v>
      </c>
    </row>
    <row r="173" spans="5:9" x14ac:dyDescent="0.4">
      <c r="E173" s="70">
        <v>171</v>
      </c>
      <c r="F173" s="71">
        <f t="shared" si="8"/>
        <v>7388888.8888890054</v>
      </c>
      <c r="G173" s="71">
        <f t="shared" si="9"/>
        <v>38888.888888888891</v>
      </c>
      <c r="H173" s="71">
        <f t="shared" si="10"/>
        <v>12315</v>
      </c>
      <c r="I173" s="71">
        <f t="shared" si="11"/>
        <v>51203.888888888891</v>
      </c>
    </row>
    <row r="174" spans="5:9" x14ac:dyDescent="0.4">
      <c r="E174" s="70">
        <v>172</v>
      </c>
      <c r="F174" s="71">
        <f t="shared" si="8"/>
        <v>7350000.0000001164</v>
      </c>
      <c r="G174" s="71">
        <f t="shared" si="9"/>
        <v>38888.888888888891</v>
      </c>
      <c r="H174" s="71">
        <f t="shared" si="10"/>
        <v>12250</v>
      </c>
      <c r="I174" s="71">
        <f t="shared" si="11"/>
        <v>51138.888888888891</v>
      </c>
    </row>
    <row r="175" spans="5:9" x14ac:dyDescent="0.4">
      <c r="E175" s="70">
        <v>173</v>
      </c>
      <c r="F175" s="71">
        <f t="shared" si="8"/>
        <v>7311111.1111112274</v>
      </c>
      <c r="G175" s="71">
        <f t="shared" si="9"/>
        <v>38888.888888888891</v>
      </c>
      <c r="H175" s="71">
        <f t="shared" si="10"/>
        <v>12185</v>
      </c>
      <c r="I175" s="71">
        <f t="shared" si="11"/>
        <v>51073.888888888891</v>
      </c>
    </row>
    <row r="176" spans="5:9" x14ac:dyDescent="0.4">
      <c r="E176" s="70">
        <v>174</v>
      </c>
      <c r="F176" s="71">
        <f t="shared" si="8"/>
        <v>7272222.2222223384</v>
      </c>
      <c r="G176" s="71">
        <f t="shared" si="9"/>
        <v>38888.888888888891</v>
      </c>
      <c r="H176" s="71">
        <f t="shared" si="10"/>
        <v>12120</v>
      </c>
      <c r="I176" s="71">
        <f t="shared" si="11"/>
        <v>51008.888888888891</v>
      </c>
    </row>
    <row r="177" spans="5:9" x14ac:dyDescent="0.4">
      <c r="E177" s="70">
        <v>175</v>
      </c>
      <c r="F177" s="71">
        <f t="shared" si="8"/>
        <v>7233333.3333334494</v>
      </c>
      <c r="G177" s="71">
        <f t="shared" si="9"/>
        <v>38888.888888888891</v>
      </c>
      <c r="H177" s="71">
        <f t="shared" si="10"/>
        <v>12056</v>
      </c>
      <c r="I177" s="71">
        <f t="shared" si="11"/>
        <v>50944.888888888891</v>
      </c>
    </row>
    <row r="178" spans="5:9" x14ac:dyDescent="0.4">
      <c r="E178" s="70">
        <v>176</v>
      </c>
      <c r="F178" s="71">
        <f t="shared" si="8"/>
        <v>7194444.4444445604</v>
      </c>
      <c r="G178" s="71">
        <f t="shared" si="9"/>
        <v>38888.888888888891</v>
      </c>
      <c r="H178" s="71">
        <f t="shared" si="10"/>
        <v>11991</v>
      </c>
      <c r="I178" s="71">
        <f t="shared" si="11"/>
        <v>50879.888888888891</v>
      </c>
    </row>
    <row r="179" spans="5:9" x14ac:dyDescent="0.4">
      <c r="E179" s="70">
        <v>177</v>
      </c>
      <c r="F179" s="71">
        <f t="shared" si="8"/>
        <v>7155555.5555556715</v>
      </c>
      <c r="G179" s="71">
        <f t="shared" si="9"/>
        <v>38888.888888888891</v>
      </c>
      <c r="H179" s="71">
        <f t="shared" si="10"/>
        <v>11926</v>
      </c>
      <c r="I179" s="71">
        <f t="shared" si="11"/>
        <v>50814.888888888891</v>
      </c>
    </row>
    <row r="180" spans="5:9" x14ac:dyDescent="0.4">
      <c r="E180" s="70">
        <v>178</v>
      </c>
      <c r="F180" s="71">
        <f t="shared" si="8"/>
        <v>7116666.6666667825</v>
      </c>
      <c r="G180" s="71">
        <f t="shared" si="9"/>
        <v>38888.888888888891</v>
      </c>
      <c r="H180" s="71">
        <f t="shared" si="10"/>
        <v>11861</v>
      </c>
      <c r="I180" s="71">
        <f t="shared" si="11"/>
        <v>50749.888888888891</v>
      </c>
    </row>
    <row r="181" spans="5:9" x14ac:dyDescent="0.4">
      <c r="E181" s="70">
        <v>179</v>
      </c>
      <c r="F181" s="71">
        <f t="shared" si="8"/>
        <v>7077777.7777778935</v>
      </c>
      <c r="G181" s="71">
        <f t="shared" si="9"/>
        <v>38888.888888888891</v>
      </c>
      <c r="H181" s="71">
        <f t="shared" si="10"/>
        <v>11796</v>
      </c>
      <c r="I181" s="71">
        <f t="shared" si="11"/>
        <v>50684.888888888891</v>
      </c>
    </row>
    <row r="182" spans="5:9" x14ac:dyDescent="0.4">
      <c r="E182" s="70">
        <v>180</v>
      </c>
      <c r="F182" s="71">
        <f t="shared" si="8"/>
        <v>7038888.8888890045</v>
      </c>
      <c r="G182" s="71">
        <f t="shared" si="9"/>
        <v>38888.888888888891</v>
      </c>
      <c r="H182" s="71">
        <f t="shared" si="10"/>
        <v>11731</v>
      </c>
      <c r="I182" s="71">
        <f t="shared" si="11"/>
        <v>50619.888888888891</v>
      </c>
    </row>
    <row r="183" spans="5:9" x14ac:dyDescent="0.4">
      <c r="E183" s="70">
        <v>181</v>
      </c>
      <c r="F183" s="71">
        <f t="shared" si="8"/>
        <v>7000000.0000001155</v>
      </c>
      <c r="G183" s="71">
        <f t="shared" si="9"/>
        <v>38888.888888888891</v>
      </c>
      <c r="H183" s="71">
        <f t="shared" si="10"/>
        <v>11667</v>
      </c>
      <c r="I183" s="71">
        <f t="shared" si="11"/>
        <v>50555.888888888891</v>
      </c>
    </row>
    <row r="184" spans="5:9" x14ac:dyDescent="0.4">
      <c r="E184" s="70">
        <v>182</v>
      </c>
      <c r="F184" s="71">
        <f t="shared" si="8"/>
        <v>6961111.1111112265</v>
      </c>
      <c r="G184" s="71">
        <f t="shared" si="9"/>
        <v>38888.888888888891</v>
      </c>
      <c r="H184" s="71">
        <f t="shared" si="10"/>
        <v>11602</v>
      </c>
      <c r="I184" s="71">
        <f t="shared" si="11"/>
        <v>50490.888888888891</v>
      </c>
    </row>
    <row r="185" spans="5:9" x14ac:dyDescent="0.4">
      <c r="E185" s="70">
        <v>183</v>
      </c>
      <c r="F185" s="71">
        <f t="shared" si="8"/>
        <v>6922222.2222223375</v>
      </c>
      <c r="G185" s="71">
        <f t="shared" si="9"/>
        <v>38888.888888888891</v>
      </c>
      <c r="H185" s="71">
        <f t="shared" si="10"/>
        <v>11537</v>
      </c>
      <c r="I185" s="71">
        <f t="shared" si="11"/>
        <v>50425.888888888891</v>
      </c>
    </row>
    <row r="186" spans="5:9" x14ac:dyDescent="0.4">
      <c r="E186" s="70">
        <v>184</v>
      </c>
      <c r="F186" s="71">
        <f t="shared" si="8"/>
        <v>6883333.3333334485</v>
      </c>
      <c r="G186" s="71">
        <f t="shared" si="9"/>
        <v>38888.888888888891</v>
      </c>
      <c r="H186" s="71">
        <f t="shared" si="10"/>
        <v>11472</v>
      </c>
      <c r="I186" s="71">
        <f t="shared" si="11"/>
        <v>50360.888888888891</v>
      </c>
    </row>
    <row r="187" spans="5:9" x14ac:dyDescent="0.4">
      <c r="E187" s="70">
        <v>185</v>
      </c>
      <c r="F187" s="71">
        <f t="shared" si="8"/>
        <v>6844444.4444445595</v>
      </c>
      <c r="G187" s="71">
        <f t="shared" si="9"/>
        <v>38888.888888888891</v>
      </c>
      <c r="H187" s="71">
        <f t="shared" si="10"/>
        <v>11407</v>
      </c>
      <c r="I187" s="71">
        <f t="shared" si="11"/>
        <v>50295.888888888891</v>
      </c>
    </row>
    <row r="188" spans="5:9" x14ac:dyDescent="0.4">
      <c r="E188" s="70">
        <v>186</v>
      </c>
      <c r="F188" s="71">
        <f t="shared" si="8"/>
        <v>6805555.5555556705</v>
      </c>
      <c r="G188" s="71">
        <f t="shared" si="9"/>
        <v>38888.888888888891</v>
      </c>
      <c r="H188" s="71">
        <f t="shared" si="10"/>
        <v>11343</v>
      </c>
      <c r="I188" s="71">
        <f t="shared" si="11"/>
        <v>50231.888888888891</v>
      </c>
    </row>
    <row r="189" spans="5:9" x14ac:dyDescent="0.4">
      <c r="E189" s="70">
        <v>187</v>
      </c>
      <c r="F189" s="71">
        <f t="shared" si="8"/>
        <v>6766666.6666667815</v>
      </c>
      <c r="G189" s="71">
        <f t="shared" si="9"/>
        <v>38888.888888888891</v>
      </c>
      <c r="H189" s="71">
        <f t="shared" si="10"/>
        <v>11278</v>
      </c>
      <c r="I189" s="71">
        <f t="shared" si="11"/>
        <v>50166.888888888891</v>
      </c>
    </row>
    <row r="190" spans="5:9" x14ac:dyDescent="0.4">
      <c r="E190" s="70">
        <v>188</v>
      </c>
      <c r="F190" s="71">
        <f t="shared" si="8"/>
        <v>6727777.7777778925</v>
      </c>
      <c r="G190" s="71">
        <f t="shared" si="9"/>
        <v>38888.888888888891</v>
      </c>
      <c r="H190" s="71">
        <f t="shared" si="10"/>
        <v>11213</v>
      </c>
      <c r="I190" s="71">
        <f t="shared" si="11"/>
        <v>50101.888888888891</v>
      </c>
    </row>
    <row r="191" spans="5:9" x14ac:dyDescent="0.4">
      <c r="E191" s="70">
        <v>189</v>
      </c>
      <c r="F191" s="71">
        <f t="shared" si="8"/>
        <v>6688888.8888890035</v>
      </c>
      <c r="G191" s="71">
        <f t="shared" si="9"/>
        <v>38888.888888888891</v>
      </c>
      <c r="H191" s="71">
        <f t="shared" si="10"/>
        <v>11148</v>
      </c>
      <c r="I191" s="71">
        <f t="shared" si="11"/>
        <v>50036.888888888891</v>
      </c>
    </row>
    <row r="192" spans="5:9" x14ac:dyDescent="0.4">
      <c r="E192" s="70">
        <v>190</v>
      </c>
      <c r="F192" s="71">
        <f t="shared" si="8"/>
        <v>6650000.0000001146</v>
      </c>
      <c r="G192" s="71">
        <f t="shared" si="9"/>
        <v>38888.888888888891</v>
      </c>
      <c r="H192" s="71">
        <f t="shared" si="10"/>
        <v>11083</v>
      </c>
      <c r="I192" s="71">
        <f t="shared" si="11"/>
        <v>49971.888888888891</v>
      </c>
    </row>
    <row r="193" spans="5:9" x14ac:dyDescent="0.4">
      <c r="E193" s="70">
        <v>191</v>
      </c>
      <c r="F193" s="71">
        <f t="shared" si="8"/>
        <v>6611111.1111112256</v>
      </c>
      <c r="G193" s="71">
        <f t="shared" si="9"/>
        <v>38888.888888888891</v>
      </c>
      <c r="H193" s="71">
        <f t="shared" si="10"/>
        <v>11019</v>
      </c>
      <c r="I193" s="71">
        <f t="shared" si="11"/>
        <v>49907.888888888891</v>
      </c>
    </row>
    <row r="194" spans="5:9" x14ac:dyDescent="0.4">
      <c r="E194" s="70">
        <v>192</v>
      </c>
      <c r="F194" s="71">
        <f t="shared" si="8"/>
        <v>6572222.2222223366</v>
      </c>
      <c r="G194" s="71">
        <f t="shared" si="9"/>
        <v>38888.888888888891</v>
      </c>
      <c r="H194" s="71">
        <f t="shared" si="10"/>
        <v>10954</v>
      </c>
      <c r="I194" s="71">
        <f t="shared" si="11"/>
        <v>49842.888888888891</v>
      </c>
    </row>
    <row r="195" spans="5:9" x14ac:dyDescent="0.4">
      <c r="E195" s="70">
        <v>193</v>
      </c>
      <c r="F195" s="71">
        <f t="shared" si="8"/>
        <v>6533333.3333334476</v>
      </c>
      <c r="G195" s="71">
        <f t="shared" si="9"/>
        <v>38888.888888888891</v>
      </c>
      <c r="H195" s="71">
        <f t="shared" si="10"/>
        <v>10889</v>
      </c>
      <c r="I195" s="71">
        <f t="shared" si="11"/>
        <v>49777.888888888891</v>
      </c>
    </row>
    <row r="196" spans="5:9" x14ac:dyDescent="0.4">
      <c r="E196" s="70">
        <v>194</v>
      </c>
      <c r="F196" s="71">
        <f t="shared" ref="F196:F259" si="12">IF($E196&gt;$B$7*12,"",F195-G195)</f>
        <v>6494444.4444445586</v>
      </c>
      <c r="G196" s="71">
        <f t="shared" ref="G196:G259" si="13">IF($E196&gt;$B$7*12,"",G195)</f>
        <v>38888.888888888891</v>
      </c>
      <c r="H196" s="71">
        <f t="shared" ref="H196:H259" si="14">IF($E196&gt;$B$7*12,"",ROUND(F196*($B$8/12),0))</f>
        <v>10824</v>
      </c>
      <c r="I196" s="71">
        <f t="shared" ref="I196:I259" si="15">IF($E196&gt;$B$7*12,"",G196+H196)</f>
        <v>49712.888888888891</v>
      </c>
    </row>
    <row r="197" spans="5:9" x14ac:dyDescent="0.4">
      <c r="E197" s="70">
        <v>195</v>
      </c>
      <c r="F197" s="71">
        <f t="shared" si="12"/>
        <v>6455555.5555556696</v>
      </c>
      <c r="G197" s="71">
        <f t="shared" si="13"/>
        <v>38888.888888888891</v>
      </c>
      <c r="H197" s="71">
        <f t="shared" si="14"/>
        <v>10759</v>
      </c>
      <c r="I197" s="71">
        <f t="shared" si="15"/>
        <v>49647.888888888891</v>
      </c>
    </row>
    <row r="198" spans="5:9" x14ac:dyDescent="0.4">
      <c r="E198" s="70">
        <v>196</v>
      </c>
      <c r="F198" s="71">
        <f t="shared" si="12"/>
        <v>6416666.6666667806</v>
      </c>
      <c r="G198" s="71">
        <f t="shared" si="13"/>
        <v>38888.888888888891</v>
      </c>
      <c r="H198" s="71">
        <f t="shared" si="14"/>
        <v>10694</v>
      </c>
      <c r="I198" s="71">
        <f t="shared" si="15"/>
        <v>49582.888888888891</v>
      </c>
    </row>
    <row r="199" spans="5:9" x14ac:dyDescent="0.4">
      <c r="E199" s="70">
        <v>197</v>
      </c>
      <c r="F199" s="71">
        <f t="shared" si="12"/>
        <v>6377777.7777778916</v>
      </c>
      <c r="G199" s="71">
        <f t="shared" si="13"/>
        <v>38888.888888888891</v>
      </c>
      <c r="H199" s="71">
        <f t="shared" si="14"/>
        <v>10630</v>
      </c>
      <c r="I199" s="71">
        <f t="shared" si="15"/>
        <v>49518.888888888891</v>
      </c>
    </row>
    <row r="200" spans="5:9" x14ac:dyDescent="0.4">
      <c r="E200" s="70">
        <v>198</v>
      </c>
      <c r="F200" s="71">
        <f t="shared" si="12"/>
        <v>6338888.8888890026</v>
      </c>
      <c r="G200" s="71">
        <f t="shared" si="13"/>
        <v>38888.888888888891</v>
      </c>
      <c r="H200" s="71">
        <f t="shared" si="14"/>
        <v>10565</v>
      </c>
      <c r="I200" s="71">
        <f t="shared" si="15"/>
        <v>49453.888888888891</v>
      </c>
    </row>
    <row r="201" spans="5:9" x14ac:dyDescent="0.4">
      <c r="E201" s="70">
        <v>199</v>
      </c>
      <c r="F201" s="71">
        <f t="shared" si="12"/>
        <v>6300000.0000001136</v>
      </c>
      <c r="G201" s="71">
        <f t="shared" si="13"/>
        <v>38888.888888888891</v>
      </c>
      <c r="H201" s="71">
        <f t="shared" si="14"/>
        <v>10500</v>
      </c>
      <c r="I201" s="71">
        <f t="shared" si="15"/>
        <v>49388.888888888891</v>
      </c>
    </row>
    <row r="202" spans="5:9" x14ac:dyDescent="0.4">
      <c r="E202" s="70">
        <v>200</v>
      </c>
      <c r="F202" s="71">
        <f t="shared" si="12"/>
        <v>6261111.1111112246</v>
      </c>
      <c r="G202" s="71">
        <f t="shared" si="13"/>
        <v>38888.888888888891</v>
      </c>
      <c r="H202" s="71">
        <f t="shared" si="14"/>
        <v>10435</v>
      </c>
      <c r="I202" s="71">
        <f t="shared" si="15"/>
        <v>49323.888888888891</v>
      </c>
    </row>
    <row r="203" spans="5:9" x14ac:dyDescent="0.4">
      <c r="E203" s="70">
        <v>201</v>
      </c>
      <c r="F203" s="71">
        <f t="shared" si="12"/>
        <v>6222222.2222223356</v>
      </c>
      <c r="G203" s="71">
        <f t="shared" si="13"/>
        <v>38888.888888888891</v>
      </c>
      <c r="H203" s="71">
        <f t="shared" si="14"/>
        <v>10370</v>
      </c>
      <c r="I203" s="71">
        <f t="shared" si="15"/>
        <v>49258.888888888891</v>
      </c>
    </row>
    <row r="204" spans="5:9" x14ac:dyDescent="0.4">
      <c r="E204" s="70">
        <v>202</v>
      </c>
      <c r="F204" s="71">
        <f t="shared" si="12"/>
        <v>6183333.3333334466</v>
      </c>
      <c r="G204" s="71">
        <f t="shared" si="13"/>
        <v>38888.888888888891</v>
      </c>
      <c r="H204" s="71">
        <f t="shared" si="14"/>
        <v>10306</v>
      </c>
      <c r="I204" s="71">
        <f t="shared" si="15"/>
        <v>49194.888888888891</v>
      </c>
    </row>
    <row r="205" spans="5:9" x14ac:dyDescent="0.4">
      <c r="E205" s="70">
        <v>203</v>
      </c>
      <c r="F205" s="71">
        <f t="shared" si="12"/>
        <v>6144444.4444445577</v>
      </c>
      <c r="G205" s="71">
        <f t="shared" si="13"/>
        <v>38888.888888888891</v>
      </c>
      <c r="H205" s="71">
        <f t="shared" si="14"/>
        <v>10241</v>
      </c>
      <c r="I205" s="71">
        <f t="shared" si="15"/>
        <v>49129.888888888891</v>
      </c>
    </row>
    <row r="206" spans="5:9" x14ac:dyDescent="0.4">
      <c r="E206" s="70">
        <v>204</v>
      </c>
      <c r="F206" s="71">
        <f t="shared" si="12"/>
        <v>6105555.5555556687</v>
      </c>
      <c r="G206" s="71">
        <f t="shared" si="13"/>
        <v>38888.888888888891</v>
      </c>
      <c r="H206" s="71">
        <f t="shared" si="14"/>
        <v>10176</v>
      </c>
      <c r="I206" s="71">
        <f t="shared" si="15"/>
        <v>49064.888888888891</v>
      </c>
    </row>
    <row r="207" spans="5:9" x14ac:dyDescent="0.4">
      <c r="E207" s="70">
        <v>205</v>
      </c>
      <c r="F207" s="71">
        <f t="shared" si="12"/>
        <v>6066666.6666667797</v>
      </c>
      <c r="G207" s="71">
        <f t="shared" si="13"/>
        <v>38888.888888888891</v>
      </c>
      <c r="H207" s="71">
        <f t="shared" si="14"/>
        <v>10111</v>
      </c>
      <c r="I207" s="71">
        <f t="shared" si="15"/>
        <v>48999.888888888891</v>
      </c>
    </row>
    <row r="208" spans="5:9" x14ac:dyDescent="0.4">
      <c r="E208" s="70">
        <v>206</v>
      </c>
      <c r="F208" s="71">
        <f t="shared" si="12"/>
        <v>6027777.7777778907</v>
      </c>
      <c r="G208" s="71">
        <f t="shared" si="13"/>
        <v>38888.888888888891</v>
      </c>
      <c r="H208" s="71">
        <f t="shared" si="14"/>
        <v>10046</v>
      </c>
      <c r="I208" s="71">
        <f t="shared" si="15"/>
        <v>48934.888888888891</v>
      </c>
    </row>
    <row r="209" spans="5:9" x14ac:dyDescent="0.4">
      <c r="E209" s="70">
        <v>207</v>
      </c>
      <c r="F209" s="71">
        <f t="shared" si="12"/>
        <v>5988888.8888890017</v>
      </c>
      <c r="G209" s="71">
        <f t="shared" si="13"/>
        <v>38888.888888888891</v>
      </c>
      <c r="H209" s="71">
        <f t="shared" si="14"/>
        <v>9981</v>
      </c>
      <c r="I209" s="71">
        <f t="shared" si="15"/>
        <v>48869.888888888891</v>
      </c>
    </row>
    <row r="210" spans="5:9" x14ac:dyDescent="0.4">
      <c r="E210" s="70">
        <v>208</v>
      </c>
      <c r="F210" s="71">
        <f t="shared" si="12"/>
        <v>5950000.0000001127</v>
      </c>
      <c r="G210" s="71">
        <f t="shared" si="13"/>
        <v>38888.888888888891</v>
      </c>
      <c r="H210" s="71">
        <f t="shared" si="14"/>
        <v>9917</v>
      </c>
      <c r="I210" s="71">
        <f t="shared" si="15"/>
        <v>48805.888888888891</v>
      </c>
    </row>
    <row r="211" spans="5:9" x14ac:dyDescent="0.4">
      <c r="E211" s="70">
        <v>209</v>
      </c>
      <c r="F211" s="71">
        <f t="shared" si="12"/>
        <v>5911111.1111112237</v>
      </c>
      <c r="G211" s="71">
        <f t="shared" si="13"/>
        <v>38888.888888888891</v>
      </c>
      <c r="H211" s="71">
        <f t="shared" si="14"/>
        <v>9852</v>
      </c>
      <c r="I211" s="71">
        <f t="shared" si="15"/>
        <v>48740.888888888891</v>
      </c>
    </row>
    <row r="212" spans="5:9" x14ac:dyDescent="0.4">
      <c r="E212" s="70">
        <v>210</v>
      </c>
      <c r="F212" s="71">
        <f t="shared" si="12"/>
        <v>5872222.2222223347</v>
      </c>
      <c r="G212" s="71">
        <f t="shared" si="13"/>
        <v>38888.888888888891</v>
      </c>
      <c r="H212" s="71">
        <f t="shared" si="14"/>
        <v>9787</v>
      </c>
      <c r="I212" s="71">
        <f t="shared" si="15"/>
        <v>48675.888888888891</v>
      </c>
    </row>
    <row r="213" spans="5:9" x14ac:dyDescent="0.4">
      <c r="E213" s="70">
        <v>211</v>
      </c>
      <c r="F213" s="71">
        <f t="shared" si="12"/>
        <v>5833333.3333334457</v>
      </c>
      <c r="G213" s="71">
        <f t="shared" si="13"/>
        <v>38888.888888888891</v>
      </c>
      <c r="H213" s="71">
        <f t="shared" si="14"/>
        <v>9722</v>
      </c>
      <c r="I213" s="71">
        <f t="shared" si="15"/>
        <v>48610.888888888891</v>
      </c>
    </row>
    <row r="214" spans="5:9" x14ac:dyDescent="0.4">
      <c r="E214" s="70">
        <v>212</v>
      </c>
      <c r="F214" s="71">
        <f t="shared" si="12"/>
        <v>5794444.4444445567</v>
      </c>
      <c r="G214" s="71">
        <f t="shared" si="13"/>
        <v>38888.888888888891</v>
      </c>
      <c r="H214" s="71">
        <f t="shared" si="14"/>
        <v>9657</v>
      </c>
      <c r="I214" s="71">
        <f t="shared" si="15"/>
        <v>48545.888888888891</v>
      </c>
    </row>
    <row r="215" spans="5:9" x14ac:dyDescent="0.4">
      <c r="E215" s="70">
        <v>213</v>
      </c>
      <c r="F215" s="71">
        <f t="shared" si="12"/>
        <v>5755555.5555556677</v>
      </c>
      <c r="G215" s="71">
        <f t="shared" si="13"/>
        <v>38888.888888888891</v>
      </c>
      <c r="H215" s="71">
        <f t="shared" si="14"/>
        <v>9593</v>
      </c>
      <c r="I215" s="71">
        <f t="shared" si="15"/>
        <v>48481.888888888891</v>
      </c>
    </row>
    <row r="216" spans="5:9" x14ac:dyDescent="0.4">
      <c r="E216" s="70">
        <v>214</v>
      </c>
      <c r="F216" s="71">
        <f t="shared" si="12"/>
        <v>5716666.6666667787</v>
      </c>
      <c r="G216" s="71">
        <f t="shared" si="13"/>
        <v>38888.888888888891</v>
      </c>
      <c r="H216" s="71">
        <f t="shared" si="14"/>
        <v>9528</v>
      </c>
      <c r="I216" s="71">
        <f t="shared" si="15"/>
        <v>48416.888888888891</v>
      </c>
    </row>
    <row r="217" spans="5:9" x14ac:dyDescent="0.4">
      <c r="E217" s="70">
        <v>215</v>
      </c>
      <c r="F217" s="71">
        <f t="shared" si="12"/>
        <v>5677777.7777778897</v>
      </c>
      <c r="G217" s="71">
        <f t="shared" si="13"/>
        <v>38888.888888888891</v>
      </c>
      <c r="H217" s="71">
        <f t="shared" si="14"/>
        <v>9463</v>
      </c>
      <c r="I217" s="71">
        <f t="shared" si="15"/>
        <v>48351.888888888891</v>
      </c>
    </row>
    <row r="218" spans="5:9" x14ac:dyDescent="0.4">
      <c r="E218" s="70">
        <v>216</v>
      </c>
      <c r="F218" s="71">
        <f t="shared" si="12"/>
        <v>5638888.8888890008</v>
      </c>
      <c r="G218" s="71">
        <f t="shared" si="13"/>
        <v>38888.888888888891</v>
      </c>
      <c r="H218" s="71">
        <f t="shared" si="14"/>
        <v>9398</v>
      </c>
      <c r="I218" s="71">
        <f t="shared" si="15"/>
        <v>48286.888888888891</v>
      </c>
    </row>
    <row r="219" spans="5:9" x14ac:dyDescent="0.4">
      <c r="E219" s="70">
        <v>217</v>
      </c>
      <c r="F219" s="71">
        <f t="shared" si="12"/>
        <v>5600000.0000001118</v>
      </c>
      <c r="G219" s="71">
        <f t="shared" si="13"/>
        <v>38888.888888888891</v>
      </c>
      <c r="H219" s="71">
        <f t="shared" si="14"/>
        <v>9333</v>
      </c>
      <c r="I219" s="71">
        <f t="shared" si="15"/>
        <v>48221.888888888891</v>
      </c>
    </row>
    <row r="220" spans="5:9" x14ac:dyDescent="0.4">
      <c r="E220" s="70">
        <v>218</v>
      </c>
      <c r="F220" s="71">
        <f t="shared" si="12"/>
        <v>5561111.1111112228</v>
      </c>
      <c r="G220" s="71">
        <f t="shared" si="13"/>
        <v>38888.888888888891</v>
      </c>
      <c r="H220" s="71">
        <f t="shared" si="14"/>
        <v>9269</v>
      </c>
      <c r="I220" s="71">
        <f t="shared" si="15"/>
        <v>48157.888888888891</v>
      </c>
    </row>
    <row r="221" spans="5:9" x14ac:dyDescent="0.4">
      <c r="E221" s="70">
        <v>219</v>
      </c>
      <c r="F221" s="71">
        <f t="shared" si="12"/>
        <v>5522222.2222223338</v>
      </c>
      <c r="G221" s="71">
        <f t="shared" si="13"/>
        <v>38888.888888888891</v>
      </c>
      <c r="H221" s="71">
        <f t="shared" si="14"/>
        <v>9204</v>
      </c>
      <c r="I221" s="71">
        <f t="shared" si="15"/>
        <v>48092.888888888891</v>
      </c>
    </row>
    <row r="222" spans="5:9" x14ac:dyDescent="0.4">
      <c r="E222" s="70">
        <v>220</v>
      </c>
      <c r="F222" s="71">
        <f t="shared" si="12"/>
        <v>5483333.3333334448</v>
      </c>
      <c r="G222" s="71">
        <f t="shared" si="13"/>
        <v>38888.888888888891</v>
      </c>
      <c r="H222" s="71">
        <f t="shared" si="14"/>
        <v>9139</v>
      </c>
      <c r="I222" s="71">
        <f t="shared" si="15"/>
        <v>48027.888888888891</v>
      </c>
    </row>
    <row r="223" spans="5:9" x14ac:dyDescent="0.4">
      <c r="E223" s="70">
        <v>221</v>
      </c>
      <c r="F223" s="71">
        <f t="shared" si="12"/>
        <v>5444444.4444445558</v>
      </c>
      <c r="G223" s="71">
        <f t="shared" si="13"/>
        <v>38888.888888888891</v>
      </c>
      <c r="H223" s="71">
        <f t="shared" si="14"/>
        <v>9074</v>
      </c>
      <c r="I223" s="71">
        <f t="shared" si="15"/>
        <v>47962.888888888891</v>
      </c>
    </row>
    <row r="224" spans="5:9" x14ac:dyDescent="0.4">
      <c r="E224" s="70">
        <v>222</v>
      </c>
      <c r="F224" s="71">
        <f t="shared" si="12"/>
        <v>5405555.5555556668</v>
      </c>
      <c r="G224" s="71">
        <f t="shared" si="13"/>
        <v>38888.888888888891</v>
      </c>
      <c r="H224" s="71">
        <f t="shared" si="14"/>
        <v>9009</v>
      </c>
      <c r="I224" s="71">
        <f t="shared" si="15"/>
        <v>47897.888888888891</v>
      </c>
    </row>
    <row r="225" spans="5:9" x14ac:dyDescent="0.4">
      <c r="E225" s="70">
        <v>223</v>
      </c>
      <c r="F225" s="71">
        <f t="shared" si="12"/>
        <v>5366666.6666667778</v>
      </c>
      <c r="G225" s="71">
        <f t="shared" si="13"/>
        <v>38888.888888888891</v>
      </c>
      <c r="H225" s="71">
        <f t="shared" si="14"/>
        <v>8944</v>
      </c>
      <c r="I225" s="71">
        <f t="shared" si="15"/>
        <v>47832.888888888891</v>
      </c>
    </row>
    <row r="226" spans="5:9" x14ac:dyDescent="0.4">
      <c r="E226" s="70">
        <v>224</v>
      </c>
      <c r="F226" s="71">
        <f t="shared" si="12"/>
        <v>5327777.7777778888</v>
      </c>
      <c r="G226" s="71">
        <f t="shared" si="13"/>
        <v>38888.888888888891</v>
      </c>
      <c r="H226" s="71">
        <f t="shared" si="14"/>
        <v>8880</v>
      </c>
      <c r="I226" s="71">
        <f t="shared" si="15"/>
        <v>47768.888888888891</v>
      </c>
    </row>
    <row r="227" spans="5:9" x14ac:dyDescent="0.4">
      <c r="E227" s="70">
        <v>225</v>
      </c>
      <c r="F227" s="71">
        <f t="shared" si="12"/>
        <v>5288888.8888889998</v>
      </c>
      <c r="G227" s="71">
        <f t="shared" si="13"/>
        <v>38888.888888888891</v>
      </c>
      <c r="H227" s="71">
        <f t="shared" si="14"/>
        <v>8815</v>
      </c>
      <c r="I227" s="71">
        <f t="shared" si="15"/>
        <v>47703.888888888891</v>
      </c>
    </row>
    <row r="228" spans="5:9" x14ac:dyDescent="0.4">
      <c r="E228" s="70">
        <v>226</v>
      </c>
      <c r="F228" s="71">
        <f t="shared" si="12"/>
        <v>5250000.0000001108</v>
      </c>
      <c r="G228" s="71">
        <f t="shared" si="13"/>
        <v>38888.888888888891</v>
      </c>
      <c r="H228" s="71">
        <f t="shared" si="14"/>
        <v>8750</v>
      </c>
      <c r="I228" s="71">
        <f t="shared" si="15"/>
        <v>47638.888888888891</v>
      </c>
    </row>
    <row r="229" spans="5:9" x14ac:dyDescent="0.4">
      <c r="E229" s="70">
        <v>227</v>
      </c>
      <c r="F229" s="71">
        <f t="shared" si="12"/>
        <v>5211111.1111112218</v>
      </c>
      <c r="G229" s="71">
        <f t="shared" si="13"/>
        <v>38888.888888888891</v>
      </c>
      <c r="H229" s="71">
        <f t="shared" si="14"/>
        <v>8685</v>
      </c>
      <c r="I229" s="71">
        <f t="shared" si="15"/>
        <v>47573.888888888891</v>
      </c>
    </row>
    <row r="230" spans="5:9" x14ac:dyDescent="0.4">
      <c r="E230" s="70">
        <v>228</v>
      </c>
      <c r="F230" s="71">
        <f t="shared" si="12"/>
        <v>5172222.2222223328</v>
      </c>
      <c r="G230" s="71">
        <f t="shared" si="13"/>
        <v>38888.888888888891</v>
      </c>
      <c r="H230" s="71">
        <f t="shared" si="14"/>
        <v>8620</v>
      </c>
      <c r="I230" s="71">
        <f t="shared" si="15"/>
        <v>47508.888888888891</v>
      </c>
    </row>
    <row r="231" spans="5:9" x14ac:dyDescent="0.4">
      <c r="E231" s="70">
        <v>229</v>
      </c>
      <c r="F231" s="71">
        <f t="shared" si="12"/>
        <v>5133333.3333334439</v>
      </c>
      <c r="G231" s="71">
        <f t="shared" si="13"/>
        <v>38888.888888888891</v>
      </c>
      <c r="H231" s="71">
        <f t="shared" si="14"/>
        <v>8556</v>
      </c>
      <c r="I231" s="71">
        <f t="shared" si="15"/>
        <v>47444.888888888891</v>
      </c>
    </row>
    <row r="232" spans="5:9" x14ac:dyDescent="0.4">
      <c r="E232" s="70">
        <v>230</v>
      </c>
      <c r="F232" s="71">
        <f t="shared" si="12"/>
        <v>5094444.4444445549</v>
      </c>
      <c r="G232" s="71">
        <f t="shared" si="13"/>
        <v>38888.888888888891</v>
      </c>
      <c r="H232" s="71">
        <f t="shared" si="14"/>
        <v>8491</v>
      </c>
      <c r="I232" s="71">
        <f t="shared" si="15"/>
        <v>47379.888888888891</v>
      </c>
    </row>
    <row r="233" spans="5:9" x14ac:dyDescent="0.4">
      <c r="E233" s="70">
        <v>231</v>
      </c>
      <c r="F233" s="71">
        <f t="shared" si="12"/>
        <v>5055555.5555556659</v>
      </c>
      <c r="G233" s="71">
        <f t="shared" si="13"/>
        <v>38888.888888888891</v>
      </c>
      <c r="H233" s="71">
        <f t="shared" si="14"/>
        <v>8426</v>
      </c>
      <c r="I233" s="71">
        <f t="shared" si="15"/>
        <v>47314.888888888891</v>
      </c>
    </row>
    <row r="234" spans="5:9" x14ac:dyDescent="0.4">
      <c r="E234" s="70">
        <v>232</v>
      </c>
      <c r="F234" s="71">
        <f t="shared" si="12"/>
        <v>5016666.6666667769</v>
      </c>
      <c r="G234" s="71">
        <f t="shared" si="13"/>
        <v>38888.888888888891</v>
      </c>
      <c r="H234" s="71">
        <f t="shared" si="14"/>
        <v>8361</v>
      </c>
      <c r="I234" s="71">
        <f t="shared" si="15"/>
        <v>47249.888888888891</v>
      </c>
    </row>
    <row r="235" spans="5:9" x14ac:dyDescent="0.4">
      <c r="E235" s="70">
        <v>233</v>
      </c>
      <c r="F235" s="71">
        <f t="shared" si="12"/>
        <v>4977777.7777778879</v>
      </c>
      <c r="G235" s="71">
        <f t="shared" si="13"/>
        <v>38888.888888888891</v>
      </c>
      <c r="H235" s="71">
        <f t="shared" si="14"/>
        <v>8296</v>
      </c>
      <c r="I235" s="71">
        <f t="shared" si="15"/>
        <v>47184.888888888891</v>
      </c>
    </row>
    <row r="236" spans="5:9" x14ac:dyDescent="0.4">
      <c r="E236" s="70">
        <v>234</v>
      </c>
      <c r="F236" s="71">
        <f t="shared" si="12"/>
        <v>4938888.8888889989</v>
      </c>
      <c r="G236" s="71">
        <f t="shared" si="13"/>
        <v>38888.888888888891</v>
      </c>
      <c r="H236" s="71">
        <f t="shared" si="14"/>
        <v>8231</v>
      </c>
      <c r="I236" s="71">
        <f t="shared" si="15"/>
        <v>47119.888888888891</v>
      </c>
    </row>
    <row r="237" spans="5:9" x14ac:dyDescent="0.4">
      <c r="E237" s="70">
        <v>235</v>
      </c>
      <c r="F237" s="71">
        <f t="shared" si="12"/>
        <v>4900000.0000001099</v>
      </c>
      <c r="G237" s="71">
        <f t="shared" si="13"/>
        <v>38888.888888888891</v>
      </c>
      <c r="H237" s="71">
        <f t="shared" si="14"/>
        <v>8167</v>
      </c>
      <c r="I237" s="71">
        <f t="shared" si="15"/>
        <v>47055.888888888891</v>
      </c>
    </row>
    <row r="238" spans="5:9" x14ac:dyDescent="0.4">
      <c r="E238" s="70">
        <v>236</v>
      </c>
      <c r="F238" s="71">
        <f t="shared" si="12"/>
        <v>4861111.1111112209</v>
      </c>
      <c r="G238" s="71">
        <f t="shared" si="13"/>
        <v>38888.888888888891</v>
      </c>
      <c r="H238" s="71">
        <f t="shared" si="14"/>
        <v>8102</v>
      </c>
      <c r="I238" s="71">
        <f t="shared" si="15"/>
        <v>46990.888888888891</v>
      </c>
    </row>
    <row r="239" spans="5:9" x14ac:dyDescent="0.4">
      <c r="E239" s="70">
        <v>237</v>
      </c>
      <c r="F239" s="71">
        <f t="shared" si="12"/>
        <v>4822222.2222223319</v>
      </c>
      <c r="G239" s="71">
        <f t="shared" si="13"/>
        <v>38888.888888888891</v>
      </c>
      <c r="H239" s="71">
        <f t="shared" si="14"/>
        <v>8037</v>
      </c>
      <c r="I239" s="71">
        <f t="shared" si="15"/>
        <v>46925.888888888891</v>
      </c>
    </row>
    <row r="240" spans="5:9" x14ac:dyDescent="0.4">
      <c r="E240" s="70">
        <v>238</v>
      </c>
      <c r="F240" s="71">
        <f t="shared" si="12"/>
        <v>4783333.3333334429</v>
      </c>
      <c r="G240" s="71">
        <f t="shared" si="13"/>
        <v>38888.888888888891</v>
      </c>
      <c r="H240" s="71">
        <f t="shared" si="14"/>
        <v>7972</v>
      </c>
      <c r="I240" s="71">
        <f t="shared" si="15"/>
        <v>46860.888888888891</v>
      </c>
    </row>
    <row r="241" spans="5:9" x14ac:dyDescent="0.4">
      <c r="E241" s="70">
        <v>239</v>
      </c>
      <c r="F241" s="71">
        <f t="shared" si="12"/>
        <v>4744444.4444445539</v>
      </c>
      <c r="G241" s="71">
        <f t="shared" si="13"/>
        <v>38888.888888888891</v>
      </c>
      <c r="H241" s="71">
        <f t="shared" si="14"/>
        <v>7907</v>
      </c>
      <c r="I241" s="71">
        <f t="shared" si="15"/>
        <v>46795.888888888891</v>
      </c>
    </row>
    <row r="242" spans="5:9" x14ac:dyDescent="0.4">
      <c r="E242" s="70">
        <v>240</v>
      </c>
      <c r="F242" s="71">
        <f t="shared" si="12"/>
        <v>4705555.5555556649</v>
      </c>
      <c r="G242" s="71">
        <f t="shared" si="13"/>
        <v>38888.888888888891</v>
      </c>
      <c r="H242" s="71">
        <f t="shared" si="14"/>
        <v>7843</v>
      </c>
      <c r="I242" s="71">
        <f t="shared" si="15"/>
        <v>46731.888888888891</v>
      </c>
    </row>
    <row r="243" spans="5:9" x14ac:dyDescent="0.4">
      <c r="E243" s="70">
        <v>241</v>
      </c>
      <c r="F243" s="71">
        <f t="shared" si="12"/>
        <v>4666666.6666667759</v>
      </c>
      <c r="G243" s="71">
        <f t="shared" si="13"/>
        <v>38888.888888888891</v>
      </c>
      <c r="H243" s="71">
        <f t="shared" si="14"/>
        <v>7778</v>
      </c>
      <c r="I243" s="71">
        <f t="shared" si="15"/>
        <v>46666.888888888891</v>
      </c>
    </row>
    <row r="244" spans="5:9" x14ac:dyDescent="0.4">
      <c r="E244" s="70">
        <v>242</v>
      </c>
      <c r="F244" s="71">
        <f t="shared" si="12"/>
        <v>4627777.7777778869</v>
      </c>
      <c r="G244" s="71">
        <f t="shared" si="13"/>
        <v>38888.888888888891</v>
      </c>
      <c r="H244" s="71">
        <f t="shared" si="14"/>
        <v>7713</v>
      </c>
      <c r="I244" s="71">
        <f t="shared" si="15"/>
        <v>46601.888888888891</v>
      </c>
    </row>
    <row r="245" spans="5:9" x14ac:dyDescent="0.4">
      <c r="E245" s="70">
        <v>243</v>
      </c>
      <c r="F245" s="71">
        <f t="shared" si="12"/>
        <v>4588888.888888998</v>
      </c>
      <c r="G245" s="71">
        <f t="shared" si="13"/>
        <v>38888.888888888891</v>
      </c>
      <c r="H245" s="71">
        <f t="shared" si="14"/>
        <v>7648</v>
      </c>
      <c r="I245" s="71">
        <f t="shared" si="15"/>
        <v>46536.888888888891</v>
      </c>
    </row>
    <row r="246" spans="5:9" x14ac:dyDescent="0.4">
      <c r="E246" s="70">
        <v>244</v>
      </c>
      <c r="F246" s="71">
        <f t="shared" si="12"/>
        <v>4550000.000000109</v>
      </c>
      <c r="G246" s="71">
        <f t="shared" si="13"/>
        <v>38888.888888888891</v>
      </c>
      <c r="H246" s="71">
        <f t="shared" si="14"/>
        <v>7583</v>
      </c>
      <c r="I246" s="71">
        <f t="shared" si="15"/>
        <v>46471.888888888891</v>
      </c>
    </row>
    <row r="247" spans="5:9" x14ac:dyDescent="0.4">
      <c r="E247" s="70">
        <v>245</v>
      </c>
      <c r="F247" s="71">
        <f t="shared" si="12"/>
        <v>4511111.11111122</v>
      </c>
      <c r="G247" s="71">
        <f t="shared" si="13"/>
        <v>38888.888888888891</v>
      </c>
      <c r="H247" s="71">
        <f t="shared" si="14"/>
        <v>7519</v>
      </c>
      <c r="I247" s="71">
        <f t="shared" si="15"/>
        <v>46407.888888888891</v>
      </c>
    </row>
    <row r="248" spans="5:9" x14ac:dyDescent="0.4">
      <c r="E248" s="70">
        <v>246</v>
      </c>
      <c r="F248" s="71">
        <f t="shared" si="12"/>
        <v>4472222.222222331</v>
      </c>
      <c r="G248" s="71">
        <f t="shared" si="13"/>
        <v>38888.888888888891</v>
      </c>
      <c r="H248" s="71">
        <f t="shared" si="14"/>
        <v>7454</v>
      </c>
      <c r="I248" s="71">
        <f t="shared" si="15"/>
        <v>46342.888888888891</v>
      </c>
    </row>
    <row r="249" spans="5:9" x14ac:dyDescent="0.4">
      <c r="E249" s="70">
        <v>247</v>
      </c>
      <c r="F249" s="71">
        <f t="shared" si="12"/>
        <v>4433333.333333442</v>
      </c>
      <c r="G249" s="71">
        <f t="shared" si="13"/>
        <v>38888.888888888891</v>
      </c>
      <c r="H249" s="71">
        <f t="shared" si="14"/>
        <v>7389</v>
      </c>
      <c r="I249" s="71">
        <f t="shared" si="15"/>
        <v>46277.888888888891</v>
      </c>
    </row>
    <row r="250" spans="5:9" x14ac:dyDescent="0.4">
      <c r="E250" s="70">
        <v>248</v>
      </c>
      <c r="F250" s="71">
        <f t="shared" si="12"/>
        <v>4394444.444444553</v>
      </c>
      <c r="G250" s="71">
        <f t="shared" si="13"/>
        <v>38888.888888888891</v>
      </c>
      <c r="H250" s="71">
        <f t="shared" si="14"/>
        <v>7324</v>
      </c>
      <c r="I250" s="71">
        <f t="shared" si="15"/>
        <v>46212.888888888891</v>
      </c>
    </row>
    <row r="251" spans="5:9" x14ac:dyDescent="0.4">
      <c r="E251" s="70">
        <v>249</v>
      </c>
      <c r="F251" s="71">
        <f t="shared" si="12"/>
        <v>4355555.555555664</v>
      </c>
      <c r="G251" s="71">
        <f t="shared" si="13"/>
        <v>38888.888888888891</v>
      </c>
      <c r="H251" s="71">
        <f t="shared" si="14"/>
        <v>7259</v>
      </c>
      <c r="I251" s="71">
        <f t="shared" si="15"/>
        <v>46147.888888888891</v>
      </c>
    </row>
    <row r="252" spans="5:9" x14ac:dyDescent="0.4">
      <c r="E252" s="70">
        <v>250</v>
      </c>
      <c r="F252" s="71">
        <f t="shared" si="12"/>
        <v>4316666.666666775</v>
      </c>
      <c r="G252" s="71">
        <f t="shared" si="13"/>
        <v>38888.888888888891</v>
      </c>
      <c r="H252" s="71">
        <f t="shared" si="14"/>
        <v>7194</v>
      </c>
      <c r="I252" s="71">
        <f t="shared" si="15"/>
        <v>46082.888888888891</v>
      </c>
    </row>
    <row r="253" spans="5:9" x14ac:dyDescent="0.4">
      <c r="E253" s="70">
        <v>251</v>
      </c>
      <c r="F253" s="71">
        <f t="shared" si="12"/>
        <v>4277777.777777886</v>
      </c>
      <c r="G253" s="71">
        <f t="shared" si="13"/>
        <v>38888.888888888891</v>
      </c>
      <c r="H253" s="71">
        <f t="shared" si="14"/>
        <v>7130</v>
      </c>
      <c r="I253" s="71">
        <f t="shared" si="15"/>
        <v>46018.888888888891</v>
      </c>
    </row>
    <row r="254" spans="5:9" x14ac:dyDescent="0.4">
      <c r="E254" s="70">
        <v>252</v>
      </c>
      <c r="F254" s="71">
        <f t="shared" si="12"/>
        <v>4238888.888888997</v>
      </c>
      <c r="G254" s="71">
        <f t="shared" si="13"/>
        <v>38888.888888888891</v>
      </c>
      <c r="H254" s="71">
        <f t="shared" si="14"/>
        <v>7065</v>
      </c>
      <c r="I254" s="71">
        <f t="shared" si="15"/>
        <v>45953.888888888891</v>
      </c>
    </row>
    <row r="255" spans="5:9" x14ac:dyDescent="0.4">
      <c r="E255" s="70">
        <v>253</v>
      </c>
      <c r="F255" s="71">
        <f t="shared" si="12"/>
        <v>4200000.000000108</v>
      </c>
      <c r="G255" s="71">
        <f t="shared" si="13"/>
        <v>38888.888888888891</v>
      </c>
      <c r="H255" s="71">
        <f t="shared" si="14"/>
        <v>7000</v>
      </c>
      <c r="I255" s="71">
        <f t="shared" si="15"/>
        <v>45888.888888888891</v>
      </c>
    </row>
    <row r="256" spans="5:9" x14ac:dyDescent="0.4">
      <c r="E256" s="70">
        <v>254</v>
      </c>
      <c r="F256" s="71">
        <f t="shared" si="12"/>
        <v>4161111.111111219</v>
      </c>
      <c r="G256" s="71">
        <f t="shared" si="13"/>
        <v>38888.888888888891</v>
      </c>
      <c r="H256" s="71">
        <f t="shared" si="14"/>
        <v>6935</v>
      </c>
      <c r="I256" s="71">
        <f t="shared" si="15"/>
        <v>45823.888888888891</v>
      </c>
    </row>
    <row r="257" spans="5:9" x14ac:dyDescent="0.4">
      <c r="E257" s="70">
        <v>255</v>
      </c>
      <c r="F257" s="71">
        <f t="shared" si="12"/>
        <v>4122222.22222233</v>
      </c>
      <c r="G257" s="71">
        <f t="shared" si="13"/>
        <v>38888.888888888891</v>
      </c>
      <c r="H257" s="71">
        <f t="shared" si="14"/>
        <v>6870</v>
      </c>
      <c r="I257" s="71">
        <f t="shared" si="15"/>
        <v>45758.888888888891</v>
      </c>
    </row>
    <row r="258" spans="5:9" x14ac:dyDescent="0.4">
      <c r="E258" s="70">
        <v>256</v>
      </c>
      <c r="F258" s="71">
        <f t="shared" si="12"/>
        <v>4083333.3333334411</v>
      </c>
      <c r="G258" s="71">
        <f t="shared" si="13"/>
        <v>38888.888888888891</v>
      </c>
      <c r="H258" s="71">
        <f t="shared" si="14"/>
        <v>6806</v>
      </c>
      <c r="I258" s="71">
        <f t="shared" si="15"/>
        <v>45694.888888888891</v>
      </c>
    </row>
    <row r="259" spans="5:9" x14ac:dyDescent="0.4">
      <c r="E259" s="70">
        <v>257</v>
      </c>
      <c r="F259" s="71">
        <f t="shared" si="12"/>
        <v>4044444.4444445521</v>
      </c>
      <c r="G259" s="71">
        <f t="shared" si="13"/>
        <v>38888.888888888891</v>
      </c>
      <c r="H259" s="71">
        <f t="shared" si="14"/>
        <v>6741</v>
      </c>
      <c r="I259" s="71">
        <f t="shared" si="15"/>
        <v>45629.888888888891</v>
      </c>
    </row>
    <row r="260" spans="5:9" x14ac:dyDescent="0.4">
      <c r="E260" s="70">
        <v>258</v>
      </c>
      <c r="F260" s="71">
        <f t="shared" ref="F260:F323" si="16">IF($E260&gt;$B$7*12,"",F259-G259)</f>
        <v>4005555.5555556631</v>
      </c>
      <c r="G260" s="71">
        <f t="shared" ref="G260:G323" si="17">IF($E260&gt;$B$7*12,"",G259)</f>
        <v>38888.888888888891</v>
      </c>
      <c r="H260" s="71">
        <f t="shared" ref="H260:H323" si="18">IF($E260&gt;$B$7*12,"",ROUND(F260*($B$8/12),0))</f>
        <v>6676</v>
      </c>
      <c r="I260" s="71">
        <f t="shared" ref="I260:I323" si="19">IF($E260&gt;$B$7*12,"",G260+H260)</f>
        <v>45564.888888888891</v>
      </c>
    </row>
    <row r="261" spans="5:9" x14ac:dyDescent="0.4">
      <c r="E261" s="70">
        <v>259</v>
      </c>
      <c r="F261" s="71">
        <f t="shared" si="16"/>
        <v>3966666.6666667741</v>
      </c>
      <c r="G261" s="71">
        <f t="shared" si="17"/>
        <v>38888.888888888891</v>
      </c>
      <c r="H261" s="71">
        <f t="shared" si="18"/>
        <v>6611</v>
      </c>
      <c r="I261" s="71">
        <f t="shared" si="19"/>
        <v>45499.888888888891</v>
      </c>
    </row>
    <row r="262" spans="5:9" x14ac:dyDescent="0.4">
      <c r="E262" s="70">
        <v>260</v>
      </c>
      <c r="F262" s="71">
        <f t="shared" si="16"/>
        <v>3927777.7777778851</v>
      </c>
      <c r="G262" s="71">
        <f t="shared" si="17"/>
        <v>38888.888888888891</v>
      </c>
      <c r="H262" s="71">
        <f t="shared" si="18"/>
        <v>6546</v>
      </c>
      <c r="I262" s="71">
        <f t="shared" si="19"/>
        <v>45434.888888888891</v>
      </c>
    </row>
    <row r="263" spans="5:9" x14ac:dyDescent="0.4">
      <c r="E263" s="70">
        <v>261</v>
      </c>
      <c r="F263" s="71">
        <f t="shared" si="16"/>
        <v>3888888.8888889961</v>
      </c>
      <c r="G263" s="71">
        <f t="shared" si="17"/>
        <v>38888.888888888891</v>
      </c>
      <c r="H263" s="71">
        <f t="shared" si="18"/>
        <v>6481</v>
      </c>
      <c r="I263" s="71">
        <f t="shared" si="19"/>
        <v>45369.888888888891</v>
      </c>
    </row>
    <row r="264" spans="5:9" x14ac:dyDescent="0.4">
      <c r="E264" s="70">
        <v>262</v>
      </c>
      <c r="F264" s="71">
        <f t="shared" si="16"/>
        <v>3850000.0000001071</v>
      </c>
      <c r="G264" s="71">
        <f t="shared" si="17"/>
        <v>38888.888888888891</v>
      </c>
      <c r="H264" s="71">
        <f t="shared" si="18"/>
        <v>6417</v>
      </c>
      <c r="I264" s="71">
        <f t="shared" si="19"/>
        <v>45305.888888888891</v>
      </c>
    </row>
    <row r="265" spans="5:9" x14ac:dyDescent="0.4">
      <c r="E265" s="70">
        <v>263</v>
      </c>
      <c r="F265" s="71">
        <f t="shared" si="16"/>
        <v>3811111.1111112181</v>
      </c>
      <c r="G265" s="71">
        <f t="shared" si="17"/>
        <v>38888.888888888891</v>
      </c>
      <c r="H265" s="71">
        <f t="shared" si="18"/>
        <v>6352</v>
      </c>
      <c r="I265" s="71">
        <f t="shared" si="19"/>
        <v>45240.888888888891</v>
      </c>
    </row>
    <row r="266" spans="5:9" x14ac:dyDescent="0.4">
      <c r="E266" s="70">
        <v>264</v>
      </c>
      <c r="F266" s="71">
        <f t="shared" si="16"/>
        <v>3772222.2222223291</v>
      </c>
      <c r="G266" s="71">
        <f t="shared" si="17"/>
        <v>38888.888888888891</v>
      </c>
      <c r="H266" s="71">
        <f t="shared" si="18"/>
        <v>6287</v>
      </c>
      <c r="I266" s="71">
        <f t="shared" si="19"/>
        <v>45175.888888888891</v>
      </c>
    </row>
    <row r="267" spans="5:9" x14ac:dyDescent="0.4">
      <c r="E267" s="70">
        <v>265</v>
      </c>
      <c r="F267" s="71">
        <f t="shared" si="16"/>
        <v>3733333.3333334401</v>
      </c>
      <c r="G267" s="71">
        <f t="shared" si="17"/>
        <v>38888.888888888891</v>
      </c>
      <c r="H267" s="71">
        <f t="shared" si="18"/>
        <v>6222</v>
      </c>
      <c r="I267" s="71">
        <f t="shared" si="19"/>
        <v>45110.888888888891</v>
      </c>
    </row>
    <row r="268" spans="5:9" x14ac:dyDescent="0.4">
      <c r="E268" s="70">
        <v>266</v>
      </c>
      <c r="F268" s="71">
        <f t="shared" si="16"/>
        <v>3694444.4444445511</v>
      </c>
      <c r="G268" s="71">
        <f t="shared" si="17"/>
        <v>38888.888888888891</v>
      </c>
      <c r="H268" s="71">
        <f t="shared" si="18"/>
        <v>6157</v>
      </c>
      <c r="I268" s="71">
        <f t="shared" si="19"/>
        <v>45045.888888888891</v>
      </c>
    </row>
    <row r="269" spans="5:9" x14ac:dyDescent="0.4">
      <c r="E269" s="70">
        <v>267</v>
      </c>
      <c r="F269" s="71">
        <f t="shared" si="16"/>
        <v>3655555.5555556621</v>
      </c>
      <c r="G269" s="71">
        <f t="shared" si="17"/>
        <v>38888.888888888891</v>
      </c>
      <c r="H269" s="71">
        <f t="shared" si="18"/>
        <v>6093</v>
      </c>
      <c r="I269" s="71">
        <f t="shared" si="19"/>
        <v>44981.888888888891</v>
      </c>
    </row>
    <row r="270" spans="5:9" x14ac:dyDescent="0.4">
      <c r="E270" s="70">
        <v>268</v>
      </c>
      <c r="F270" s="71">
        <f t="shared" si="16"/>
        <v>3616666.6666667731</v>
      </c>
      <c r="G270" s="71">
        <f t="shared" si="17"/>
        <v>38888.888888888891</v>
      </c>
      <c r="H270" s="71">
        <f t="shared" si="18"/>
        <v>6028</v>
      </c>
      <c r="I270" s="71">
        <f t="shared" si="19"/>
        <v>44916.888888888891</v>
      </c>
    </row>
    <row r="271" spans="5:9" x14ac:dyDescent="0.4">
      <c r="E271" s="70">
        <v>269</v>
      </c>
      <c r="F271" s="71">
        <f t="shared" si="16"/>
        <v>3577777.7777778842</v>
      </c>
      <c r="G271" s="71">
        <f t="shared" si="17"/>
        <v>38888.888888888891</v>
      </c>
      <c r="H271" s="71">
        <f t="shared" si="18"/>
        <v>5963</v>
      </c>
      <c r="I271" s="71">
        <f t="shared" si="19"/>
        <v>44851.888888888891</v>
      </c>
    </row>
    <row r="272" spans="5:9" x14ac:dyDescent="0.4">
      <c r="E272" s="70">
        <v>270</v>
      </c>
      <c r="F272" s="71">
        <f t="shared" si="16"/>
        <v>3538888.8888889952</v>
      </c>
      <c r="G272" s="71">
        <f t="shared" si="17"/>
        <v>38888.888888888891</v>
      </c>
      <c r="H272" s="71">
        <f t="shared" si="18"/>
        <v>5898</v>
      </c>
      <c r="I272" s="71">
        <f t="shared" si="19"/>
        <v>44786.888888888891</v>
      </c>
    </row>
    <row r="273" spans="5:9" x14ac:dyDescent="0.4">
      <c r="E273" s="70">
        <v>271</v>
      </c>
      <c r="F273" s="71">
        <f t="shared" si="16"/>
        <v>3500000.0000001062</v>
      </c>
      <c r="G273" s="71">
        <f t="shared" si="17"/>
        <v>38888.888888888891</v>
      </c>
      <c r="H273" s="71">
        <f t="shared" si="18"/>
        <v>5833</v>
      </c>
      <c r="I273" s="71">
        <f t="shared" si="19"/>
        <v>44721.888888888891</v>
      </c>
    </row>
    <row r="274" spans="5:9" x14ac:dyDescent="0.4">
      <c r="E274" s="70">
        <v>272</v>
      </c>
      <c r="F274" s="71">
        <f t="shared" si="16"/>
        <v>3461111.1111112172</v>
      </c>
      <c r="G274" s="71">
        <f t="shared" si="17"/>
        <v>38888.888888888891</v>
      </c>
      <c r="H274" s="71">
        <f t="shared" si="18"/>
        <v>5769</v>
      </c>
      <c r="I274" s="71">
        <f t="shared" si="19"/>
        <v>44657.888888888891</v>
      </c>
    </row>
    <row r="275" spans="5:9" x14ac:dyDescent="0.4">
      <c r="E275" s="70">
        <v>273</v>
      </c>
      <c r="F275" s="71">
        <f t="shared" si="16"/>
        <v>3422222.2222223282</v>
      </c>
      <c r="G275" s="71">
        <f t="shared" si="17"/>
        <v>38888.888888888891</v>
      </c>
      <c r="H275" s="71">
        <f t="shared" si="18"/>
        <v>5704</v>
      </c>
      <c r="I275" s="71">
        <f t="shared" si="19"/>
        <v>44592.888888888891</v>
      </c>
    </row>
    <row r="276" spans="5:9" x14ac:dyDescent="0.4">
      <c r="E276" s="70">
        <v>274</v>
      </c>
      <c r="F276" s="71">
        <f t="shared" si="16"/>
        <v>3383333.3333334392</v>
      </c>
      <c r="G276" s="71">
        <f t="shared" si="17"/>
        <v>38888.888888888891</v>
      </c>
      <c r="H276" s="71">
        <f t="shared" si="18"/>
        <v>5639</v>
      </c>
      <c r="I276" s="71">
        <f t="shared" si="19"/>
        <v>44527.888888888891</v>
      </c>
    </row>
    <row r="277" spans="5:9" x14ac:dyDescent="0.4">
      <c r="E277" s="70">
        <v>275</v>
      </c>
      <c r="F277" s="71">
        <f t="shared" si="16"/>
        <v>3344444.4444445502</v>
      </c>
      <c r="G277" s="71">
        <f t="shared" si="17"/>
        <v>38888.888888888891</v>
      </c>
      <c r="H277" s="71">
        <f t="shared" si="18"/>
        <v>5574</v>
      </c>
      <c r="I277" s="71">
        <f t="shared" si="19"/>
        <v>44462.888888888891</v>
      </c>
    </row>
    <row r="278" spans="5:9" x14ac:dyDescent="0.4">
      <c r="E278" s="70">
        <v>276</v>
      </c>
      <c r="F278" s="71">
        <f t="shared" si="16"/>
        <v>3305555.5555556612</v>
      </c>
      <c r="G278" s="71">
        <f t="shared" si="17"/>
        <v>38888.888888888891</v>
      </c>
      <c r="H278" s="71">
        <f t="shared" si="18"/>
        <v>5509</v>
      </c>
      <c r="I278" s="71">
        <f t="shared" si="19"/>
        <v>44397.888888888891</v>
      </c>
    </row>
    <row r="279" spans="5:9" x14ac:dyDescent="0.4">
      <c r="E279" s="70">
        <v>277</v>
      </c>
      <c r="F279" s="71">
        <f t="shared" si="16"/>
        <v>3266666.6666667722</v>
      </c>
      <c r="G279" s="71">
        <f t="shared" si="17"/>
        <v>38888.888888888891</v>
      </c>
      <c r="H279" s="71">
        <f t="shared" si="18"/>
        <v>5444</v>
      </c>
      <c r="I279" s="71">
        <f t="shared" si="19"/>
        <v>44332.888888888891</v>
      </c>
    </row>
    <row r="280" spans="5:9" x14ac:dyDescent="0.4">
      <c r="E280" s="70">
        <v>278</v>
      </c>
      <c r="F280" s="71">
        <f t="shared" si="16"/>
        <v>3227777.7777778832</v>
      </c>
      <c r="G280" s="71">
        <f t="shared" si="17"/>
        <v>38888.888888888891</v>
      </c>
      <c r="H280" s="71">
        <f t="shared" si="18"/>
        <v>5380</v>
      </c>
      <c r="I280" s="71">
        <f t="shared" si="19"/>
        <v>44268.888888888891</v>
      </c>
    </row>
    <row r="281" spans="5:9" x14ac:dyDescent="0.4">
      <c r="E281" s="70">
        <v>279</v>
      </c>
      <c r="F281" s="71">
        <f t="shared" si="16"/>
        <v>3188888.8888889942</v>
      </c>
      <c r="G281" s="71">
        <f t="shared" si="17"/>
        <v>38888.888888888891</v>
      </c>
      <c r="H281" s="71">
        <f t="shared" si="18"/>
        <v>5315</v>
      </c>
      <c r="I281" s="71">
        <f t="shared" si="19"/>
        <v>44203.888888888891</v>
      </c>
    </row>
    <row r="282" spans="5:9" x14ac:dyDescent="0.4">
      <c r="E282" s="70">
        <v>280</v>
      </c>
      <c r="F282" s="71">
        <f t="shared" si="16"/>
        <v>3150000.0000001052</v>
      </c>
      <c r="G282" s="71">
        <f t="shared" si="17"/>
        <v>38888.888888888891</v>
      </c>
      <c r="H282" s="71">
        <f t="shared" si="18"/>
        <v>5250</v>
      </c>
      <c r="I282" s="71">
        <f t="shared" si="19"/>
        <v>44138.888888888891</v>
      </c>
    </row>
    <row r="283" spans="5:9" x14ac:dyDescent="0.4">
      <c r="E283" s="70">
        <v>281</v>
      </c>
      <c r="F283" s="71">
        <f t="shared" si="16"/>
        <v>3111111.1111112162</v>
      </c>
      <c r="G283" s="71">
        <f t="shared" si="17"/>
        <v>38888.888888888891</v>
      </c>
      <c r="H283" s="71">
        <f t="shared" si="18"/>
        <v>5185</v>
      </c>
      <c r="I283" s="71">
        <f t="shared" si="19"/>
        <v>44073.888888888891</v>
      </c>
    </row>
    <row r="284" spans="5:9" x14ac:dyDescent="0.4">
      <c r="E284" s="70">
        <v>282</v>
      </c>
      <c r="F284" s="71">
        <f t="shared" si="16"/>
        <v>3072222.2222223273</v>
      </c>
      <c r="G284" s="71">
        <f t="shared" si="17"/>
        <v>38888.888888888891</v>
      </c>
      <c r="H284" s="71">
        <f t="shared" si="18"/>
        <v>5120</v>
      </c>
      <c r="I284" s="71">
        <f t="shared" si="19"/>
        <v>44008.888888888891</v>
      </c>
    </row>
    <row r="285" spans="5:9" x14ac:dyDescent="0.4">
      <c r="E285" s="70">
        <v>283</v>
      </c>
      <c r="F285" s="71">
        <f t="shared" si="16"/>
        <v>3033333.3333334383</v>
      </c>
      <c r="G285" s="71">
        <f t="shared" si="17"/>
        <v>38888.888888888891</v>
      </c>
      <c r="H285" s="71">
        <f t="shared" si="18"/>
        <v>5056</v>
      </c>
      <c r="I285" s="71">
        <f t="shared" si="19"/>
        <v>43944.888888888891</v>
      </c>
    </row>
    <row r="286" spans="5:9" x14ac:dyDescent="0.4">
      <c r="E286" s="70">
        <v>284</v>
      </c>
      <c r="F286" s="71">
        <f t="shared" si="16"/>
        <v>2994444.4444445493</v>
      </c>
      <c r="G286" s="71">
        <f t="shared" si="17"/>
        <v>38888.888888888891</v>
      </c>
      <c r="H286" s="71">
        <f t="shared" si="18"/>
        <v>4991</v>
      </c>
      <c r="I286" s="71">
        <f t="shared" si="19"/>
        <v>43879.888888888891</v>
      </c>
    </row>
    <row r="287" spans="5:9" x14ac:dyDescent="0.4">
      <c r="E287" s="70">
        <v>285</v>
      </c>
      <c r="F287" s="71">
        <f t="shared" si="16"/>
        <v>2955555.5555556603</v>
      </c>
      <c r="G287" s="71">
        <f t="shared" si="17"/>
        <v>38888.888888888891</v>
      </c>
      <c r="H287" s="71">
        <f t="shared" si="18"/>
        <v>4926</v>
      </c>
      <c r="I287" s="71">
        <f t="shared" si="19"/>
        <v>43814.888888888891</v>
      </c>
    </row>
    <row r="288" spans="5:9" x14ac:dyDescent="0.4">
      <c r="E288" s="70">
        <v>286</v>
      </c>
      <c r="F288" s="71">
        <f t="shared" si="16"/>
        <v>2916666.6666667713</v>
      </c>
      <c r="G288" s="71">
        <f t="shared" si="17"/>
        <v>38888.888888888891</v>
      </c>
      <c r="H288" s="71">
        <f t="shared" si="18"/>
        <v>4861</v>
      </c>
      <c r="I288" s="71">
        <f t="shared" si="19"/>
        <v>43749.888888888891</v>
      </c>
    </row>
    <row r="289" spans="5:9" x14ac:dyDescent="0.4">
      <c r="E289" s="70">
        <v>287</v>
      </c>
      <c r="F289" s="71">
        <f t="shared" si="16"/>
        <v>2877777.7777778823</v>
      </c>
      <c r="G289" s="71">
        <f t="shared" si="17"/>
        <v>38888.888888888891</v>
      </c>
      <c r="H289" s="71">
        <f t="shared" si="18"/>
        <v>4796</v>
      </c>
      <c r="I289" s="71">
        <f t="shared" si="19"/>
        <v>43684.888888888891</v>
      </c>
    </row>
    <row r="290" spans="5:9" x14ac:dyDescent="0.4">
      <c r="E290" s="70">
        <v>288</v>
      </c>
      <c r="F290" s="71">
        <f t="shared" si="16"/>
        <v>2838888.8888889933</v>
      </c>
      <c r="G290" s="71">
        <f t="shared" si="17"/>
        <v>38888.888888888891</v>
      </c>
      <c r="H290" s="71">
        <f t="shared" si="18"/>
        <v>4731</v>
      </c>
      <c r="I290" s="71">
        <f t="shared" si="19"/>
        <v>43619.888888888891</v>
      </c>
    </row>
    <row r="291" spans="5:9" x14ac:dyDescent="0.4">
      <c r="E291" s="70">
        <v>289</v>
      </c>
      <c r="F291" s="71">
        <f t="shared" si="16"/>
        <v>2800000.0000001043</v>
      </c>
      <c r="G291" s="71">
        <f t="shared" si="17"/>
        <v>38888.888888888891</v>
      </c>
      <c r="H291" s="71">
        <f t="shared" si="18"/>
        <v>4667</v>
      </c>
      <c r="I291" s="71">
        <f t="shared" si="19"/>
        <v>43555.888888888891</v>
      </c>
    </row>
    <row r="292" spans="5:9" x14ac:dyDescent="0.4">
      <c r="E292" s="70">
        <v>290</v>
      </c>
      <c r="F292" s="71">
        <f t="shared" si="16"/>
        <v>2761111.1111112153</v>
      </c>
      <c r="G292" s="71">
        <f t="shared" si="17"/>
        <v>38888.888888888891</v>
      </c>
      <c r="H292" s="71">
        <f t="shared" si="18"/>
        <v>4602</v>
      </c>
      <c r="I292" s="71">
        <f t="shared" si="19"/>
        <v>43490.888888888891</v>
      </c>
    </row>
    <row r="293" spans="5:9" x14ac:dyDescent="0.4">
      <c r="E293" s="70">
        <v>291</v>
      </c>
      <c r="F293" s="71">
        <f t="shared" si="16"/>
        <v>2722222.2222223263</v>
      </c>
      <c r="G293" s="71">
        <f t="shared" si="17"/>
        <v>38888.888888888891</v>
      </c>
      <c r="H293" s="71">
        <f t="shared" si="18"/>
        <v>4537</v>
      </c>
      <c r="I293" s="71">
        <f t="shared" si="19"/>
        <v>43425.888888888891</v>
      </c>
    </row>
    <row r="294" spans="5:9" x14ac:dyDescent="0.4">
      <c r="E294" s="70">
        <v>292</v>
      </c>
      <c r="F294" s="71">
        <f t="shared" si="16"/>
        <v>2683333.3333334373</v>
      </c>
      <c r="G294" s="71">
        <f t="shared" si="17"/>
        <v>38888.888888888891</v>
      </c>
      <c r="H294" s="71">
        <f t="shared" si="18"/>
        <v>4472</v>
      </c>
      <c r="I294" s="71">
        <f t="shared" si="19"/>
        <v>43360.888888888891</v>
      </c>
    </row>
    <row r="295" spans="5:9" x14ac:dyDescent="0.4">
      <c r="E295" s="70">
        <v>293</v>
      </c>
      <c r="F295" s="71">
        <f t="shared" si="16"/>
        <v>2644444.4444445483</v>
      </c>
      <c r="G295" s="71">
        <f t="shared" si="17"/>
        <v>38888.888888888891</v>
      </c>
      <c r="H295" s="71">
        <f t="shared" si="18"/>
        <v>4407</v>
      </c>
      <c r="I295" s="71">
        <f t="shared" si="19"/>
        <v>43295.888888888891</v>
      </c>
    </row>
    <row r="296" spans="5:9" x14ac:dyDescent="0.4">
      <c r="E296" s="70">
        <v>294</v>
      </c>
      <c r="F296" s="71">
        <f t="shared" si="16"/>
        <v>2605555.5555556593</v>
      </c>
      <c r="G296" s="71">
        <f t="shared" si="17"/>
        <v>38888.888888888891</v>
      </c>
      <c r="H296" s="71">
        <f t="shared" si="18"/>
        <v>4343</v>
      </c>
      <c r="I296" s="71">
        <f t="shared" si="19"/>
        <v>43231.888888888891</v>
      </c>
    </row>
    <row r="297" spans="5:9" x14ac:dyDescent="0.4">
      <c r="E297" s="70">
        <v>295</v>
      </c>
      <c r="F297" s="71">
        <f t="shared" si="16"/>
        <v>2566666.6666667704</v>
      </c>
      <c r="G297" s="71">
        <f t="shared" si="17"/>
        <v>38888.888888888891</v>
      </c>
      <c r="H297" s="71">
        <f t="shared" si="18"/>
        <v>4278</v>
      </c>
      <c r="I297" s="71">
        <f t="shared" si="19"/>
        <v>43166.888888888891</v>
      </c>
    </row>
    <row r="298" spans="5:9" x14ac:dyDescent="0.4">
      <c r="E298" s="70">
        <v>296</v>
      </c>
      <c r="F298" s="71">
        <f t="shared" si="16"/>
        <v>2527777.7777778814</v>
      </c>
      <c r="G298" s="71">
        <f t="shared" si="17"/>
        <v>38888.888888888891</v>
      </c>
      <c r="H298" s="71">
        <f t="shared" si="18"/>
        <v>4213</v>
      </c>
      <c r="I298" s="71">
        <f t="shared" si="19"/>
        <v>43101.888888888891</v>
      </c>
    </row>
    <row r="299" spans="5:9" x14ac:dyDescent="0.4">
      <c r="E299" s="70">
        <v>297</v>
      </c>
      <c r="F299" s="71">
        <f t="shared" si="16"/>
        <v>2488888.8888889924</v>
      </c>
      <c r="G299" s="71">
        <f t="shared" si="17"/>
        <v>38888.888888888891</v>
      </c>
      <c r="H299" s="71">
        <f t="shared" si="18"/>
        <v>4148</v>
      </c>
      <c r="I299" s="71">
        <f t="shared" si="19"/>
        <v>43036.888888888891</v>
      </c>
    </row>
    <row r="300" spans="5:9" x14ac:dyDescent="0.4">
      <c r="E300" s="70">
        <v>298</v>
      </c>
      <c r="F300" s="71">
        <f t="shared" si="16"/>
        <v>2450000.0000001034</v>
      </c>
      <c r="G300" s="71">
        <f t="shared" si="17"/>
        <v>38888.888888888891</v>
      </c>
      <c r="H300" s="71">
        <f t="shared" si="18"/>
        <v>4083</v>
      </c>
      <c r="I300" s="71">
        <f t="shared" si="19"/>
        <v>42971.888888888891</v>
      </c>
    </row>
    <row r="301" spans="5:9" x14ac:dyDescent="0.4">
      <c r="E301" s="70">
        <v>299</v>
      </c>
      <c r="F301" s="71">
        <f t="shared" si="16"/>
        <v>2411111.1111112144</v>
      </c>
      <c r="G301" s="71">
        <f t="shared" si="17"/>
        <v>38888.888888888891</v>
      </c>
      <c r="H301" s="71">
        <f t="shared" si="18"/>
        <v>4019</v>
      </c>
      <c r="I301" s="71">
        <f t="shared" si="19"/>
        <v>42907.888888888891</v>
      </c>
    </row>
    <row r="302" spans="5:9" x14ac:dyDescent="0.4">
      <c r="E302" s="70">
        <v>300</v>
      </c>
      <c r="F302" s="71">
        <f t="shared" si="16"/>
        <v>2372222.2222223254</v>
      </c>
      <c r="G302" s="71">
        <f t="shared" si="17"/>
        <v>38888.888888888891</v>
      </c>
      <c r="H302" s="71">
        <f t="shared" si="18"/>
        <v>3954</v>
      </c>
      <c r="I302" s="71">
        <f t="shared" si="19"/>
        <v>42842.888888888891</v>
      </c>
    </row>
    <row r="303" spans="5:9" x14ac:dyDescent="0.4">
      <c r="E303" s="70">
        <v>301</v>
      </c>
      <c r="F303" s="71">
        <f t="shared" si="16"/>
        <v>2333333.3333334364</v>
      </c>
      <c r="G303" s="71">
        <f t="shared" si="17"/>
        <v>38888.888888888891</v>
      </c>
      <c r="H303" s="71">
        <f t="shared" si="18"/>
        <v>3889</v>
      </c>
      <c r="I303" s="71">
        <f t="shared" si="19"/>
        <v>42777.888888888891</v>
      </c>
    </row>
    <row r="304" spans="5:9" x14ac:dyDescent="0.4">
      <c r="E304" s="70">
        <v>302</v>
      </c>
      <c r="F304" s="71">
        <f t="shared" si="16"/>
        <v>2294444.4444445474</v>
      </c>
      <c r="G304" s="71">
        <f t="shared" si="17"/>
        <v>38888.888888888891</v>
      </c>
      <c r="H304" s="71">
        <f t="shared" si="18"/>
        <v>3824</v>
      </c>
      <c r="I304" s="71">
        <f t="shared" si="19"/>
        <v>42712.888888888891</v>
      </c>
    </row>
    <row r="305" spans="5:9" x14ac:dyDescent="0.4">
      <c r="E305" s="70">
        <v>303</v>
      </c>
      <c r="F305" s="71">
        <f t="shared" si="16"/>
        <v>2255555.5555556584</v>
      </c>
      <c r="G305" s="71">
        <f t="shared" si="17"/>
        <v>38888.888888888891</v>
      </c>
      <c r="H305" s="71">
        <f t="shared" si="18"/>
        <v>3759</v>
      </c>
      <c r="I305" s="71">
        <f t="shared" si="19"/>
        <v>42647.888888888891</v>
      </c>
    </row>
    <row r="306" spans="5:9" x14ac:dyDescent="0.4">
      <c r="E306" s="70">
        <v>304</v>
      </c>
      <c r="F306" s="71">
        <f t="shared" si="16"/>
        <v>2216666.6666667694</v>
      </c>
      <c r="G306" s="71">
        <f t="shared" si="17"/>
        <v>38888.888888888891</v>
      </c>
      <c r="H306" s="71">
        <f t="shared" si="18"/>
        <v>3694</v>
      </c>
      <c r="I306" s="71">
        <f t="shared" si="19"/>
        <v>42582.888888888891</v>
      </c>
    </row>
    <row r="307" spans="5:9" x14ac:dyDescent="0.4">
      <c r="E307" s="70">
        <v>305</v>
      </c>
      <c r="F307" s="71">
        <f t="shared" si="16"/>
        <v>2177777.7777778804</v>
      </c>
      <c r="G307" s="71">
        <f t="shared" si="17"/>
        <v>38888.888888888891</v>
      </c>
      <c r="H307" s="71">
        <f t="shared" si="18"/>
        <v>3630</v>
      </c>
      <c r="I307" s="71">
        <f t="shared" si="19"/>
        <v>42518.888888888891</v>
      </c>
    </row>
    <row r="308" spans="5:9" x14ac:dyDescent="0.4">
      <c r="E308" s="70">
        <v>306</v>
      </c>
      <c r="F308" s="71">
        <f t="shared" si="16"/>
        <v>2138888.8888889914</v>
      </c>
      <c r="G308" s="71">
        <f t="shared" si="17"/>
        <v>38888.888888888891</v>
      </c>
      <c r="H308" s="71">
        <f t="shared" si="18"/>
        <v>3565</v>
      </c>
      <c r="I308" s="71">
        <f t="shared" si="19"/>
        <v>42453.888888888891</v>
      </c>
    </row>
    <row r="309" spans="5:9" x14ac:dyDescent="0.4">
      <c r="E309" s="70">
        <v>307</v>
      </c>
      <c r="F309" s="71">
        <f t="shared" si="16"/>
        <v>2100000.0000001024</v>
      </c>
      <c r="G309" s="71">
        <f t="shared" si="17"/>
        <v>38888.888888888891</v>
      </c>
      <c r="H309" s="71">
        <f t="shared" si="18"/>
        <v>3500</v>
      </c>
      <c r="I309" s="71">
        <f t="shared" si="19"/>
        <v>42388.888888888891</v>
      </c>
    </row>
    <row r="310" spans="5:9" x14ac:dyDescent="0.4">
      <c r="E310" s="70">
        <v>308</v>
      </c>
      <c r="F310" s="71">
        <f t="shared" si="16"/>
        <v>2061111.1111112135</v>
      </c>
      <c r="G310" s="71">
        <f t="shared" si="17"/>
        <v>38888.888888888891</v>
      </c>
      <c r="H310" s="71">
        <f t="shared" si="18"/>
        <v>3435</v>
      </c>
      <c r="I310" s="71">
        <f t="shared" si="19"/>
        <v>42323.888888888891</v>
      </c>
    </row>
    <row r="311" spans="5:9" x14ac:dyDescent="0.4">
      <c r="E311" s="70">
        <v>309</v>
      </c>
      <c r="F311" s="71">
        <f t="shared" si="16"/>
        <v>2022222.2222223245</v>
      </c>
      <c r="G311" s="71">
        <f t="shared" si="17"/>
        <v>38888.888888888891</v>
      </c>
      <c r="H311" s="71">
        <f t="shared" si="18"/>
        <v>3370</v>
      </c>
      <c r="I311" s="71">
        <f t="shared" si="19"/>
        <v>42258.888888888891</v>
      </c>
    </row>
    <row r="312" spans="5:9" x14ac:dyDescent="0.4">
      <c r="E312" s="70">
        <v>310</v>
      </c>
      <c r="F312" s="71">
        <f t="shared" si="16"/>
        <v>1983333.3333334355</v>
      </c>
      <c r="G312" s="71">
        <f t="shared" si="17"/>
        <v>38888.888888888891</v>
      </c>
      <c r="H312" s="71">
        <f t="shared" si="18"/>
        <v>3306</v>
      </c>
      <c r="I312" s="71">
        <f t="shared" si="19"/>
        <v>42194.888888888891</v>
      </c>
    </row>
    <row r="313" spans="5:9" x14ac:dyDescent="0.4">
      <c r="E313" s="70">
        <v>311</v>
      </c>
      <c r="F313" s="71">
        <f t="shared" si="16"/>
        <v>1944444.4444445465</v>
      </c>
      <c r="G313" s="71">
        <f t="shared" si="17"/>
        <v>38888.888888888891</v>
      </c>
      <c r="H313" s="71">
        <f t="shared" si="18"/>
        <v>3241</v>
      </c>
      <c r="I313" s="71">
        <f t="shared" si="19"/>
        <v>42129.888888888891</v>
      </c>
    </row>
    <row r="314" spans="5:9" x14ac:dyDescent="0.4">
      <c r="E314" s="70">
        <v>312</v>
      </c>
      <c r="F314" s="71">
        <f t="shared" si="16"/>
        <v>1905555.5555556575</v>
      </c>
      <c r="G314" s="71">
        <f t="shared" si="17"/>
        <v>38888.888888888891</v>
      </c>
      <c r="H314" s="71">
        <f t="shared" si="18"/>
        <v>3176</v>
      </c>
      <c r="I314" s="71">
        <f t="shared" si="19"/>
        <v>42064.888888888891</v>
      </c>
    </row>
    <row r="315" spans="5:9" x14ac:dyDescent="0.4">
      <c r="E315" s="70">
        <v>313</v>
      </c>
      <c r="F315" s="71">
        <f t="shared" si="16"/>
        <v>1866666.6666667685</v>
      </c>
      <c r="G315" s="71">
        <f t="shared" si="17"/>
        <v>38888.888888888891</v>
      </c>
      <c r="H315" s="71">
        <f t="shared" si="18"/>
        <v>3111</v>
      </c>
      <c r="I315" s="71">
        <f t="shared" si="19"/>
        <v>41999.888888888891</v>
      </c>
    </row>
    <row r="316" spans="5:9" x14ac:dyDescent="0.4">
      <c r="E316" s="70">
        <v>314</v>
      </c>
      <c r="F316" s="71">
        <f t="shared" si="16"/>
        <v>1827777.7777778795</v>
      </c>
      <c r="G316" s="71">
        <f t="shared" si="17"/>
        <v>38888.888888888891</v>
      </c>
      <c r="H316" s="71">
        <f t="shared" si="18"/>
        <v>3046</v>
      </c>
      <c r="I316" s="71">
        <f t="shared" si="19"/>
        <v>41934.888888888891</v>
      </c>
    </row>
    <row r="317" spans="5:9" x14ac:dyDescent="0.4">
      <c r="E317" s="70">
        <v>315</v>
      </c>
      <c r="F317" s="71">
        <f t="shared" si="16"/>
        <v>1788888.8888889905</v>
      </c>
      <c r="G317" s="71">
        <f t="shared" si="17"/>
        <v>38888.888888888891</v>
      </c>
      <c r="H317" s="71">
        <f t="shared" si="18"/>
        <v>2981</v>
      </c>
      <c r="I317" s="71">
        <f t="shared" si="19"/>
        <v>41869.888888888891</v>
      </c>
    </row>
    <row r="318" spans="5:9" x14ac:dyDescent="0.4">
      <c r="E318" s="70">
        <v>316</v>
      </c>
      <c r="F318" s="71">
        <f t="shared" si="16"/>
        <v>1750000.0000001015</v>
      </c>
      <c r="G318" s="71">
        <f t="shared" si="17"/>
        <v>38888.888888888891</v>
      </c>
      <c r="H318" s="71">
        <f t="shared" si="18"/>
        <v>2917</v>
      </c>
      <c r="I318" s="71">
        <f t="shared" si="19"/>
        <v>41805.888888888891</v>
      </c>
    </row>
    <row r="319" spans="5:9" x14ac:dyDescent="0.4">
      <c r="E319" s="70">
        <v>317</v>
      </c>
      <c r="F319" s="71">
        <f t="shared" si="16"/>
        <v>1711111.1111112125</v>
      </c>
      <c r="G319" s="71">
        <f t="shared" si="17"/>
        <v>38888.888888888891</v>
      </c>
      <c r="H319" s="71">
        <f t="shared" si="18"/>
        <v>2852</v>
      </c>
      <c r="I319" s="71">
        <f t="shared" si="19"/>
        <v>41740.888888888891</v>
      </c>
    </row>
    <row r="320" spans="5:9" x14ac:dyDescent="0.4">
      <c r="E320" s="70">
        <v>318</v>
      </c>
      <c r="F320" s="71">
        <f t="shared" si="16"/>
        <v>1672222.2222223235</v>
      </c>
      <c r="G320" s="71">
        <f t="shared" si="17"/>
        <v>38888.888888888891</v>
      </c>
      <c r="H320" s="71">
        <f t="shared" si="18"/>
        <v>2787</v>
      </c>
      <c r="I320" s="71">
        <f t="shared" si="19"/>
        <v>41675.888888888891</v>
      </c>
    </row>
    <row r="321" spans="5:9" x14ac:dyDescent="0.4">
      <c r="E321" s="70">
        <v>319</v>
      </c>
      <c r="F321" s="71">
        <f t="shared" si="16"/>
        <v>1633333.3333334345</v>
      </c>
      <c r="G321" s="71">
        <f t="shared" si="17"/>
        <v>38888.888888888891</v>
      </c>
      <c r="H321" s="71">
        <f t="shared" si="18"/>
        <v>2722</v>
      </c>
      <c r="I321" s="71">
        <f t="shared" si="19"/>
        <v>41610.888888888891</v>
      </c>
    </row>
    <row r="322" spans="5:9" x14ac:dyDescent="0.4">
      <c r="E322" s="70">
        <v>320</v>
      </c>
      <c r="F322" s="71">
        <f t="shared" si="16"/>
        <v>1594444.4444445455</v>
      </c>
      <c r="G322" s="71">
        <f t="shared" si="17"/>
        <v>38888.888888888891</v>
      </c>
      <c r="H322" s="71">
        <f t="shared" si="18"/>
        <v>2657</v>
      </c>
      <c r="I322" s="71">
        <f t="shared" si="19"/>
        <v>41545.888888888891</v>
      </c>
    </row>
    <row r="323" spans="5:9" x14ac:dyDescent="0.4">
      <c r="E323" s="70">
        <v>321</v>
      </c>
      <c r="F323" s="71">
        <f t="shared" si="16"/>
        <v>1555555.5555556566</v>
      </c>
      <c r="G323" s="71">
        <f t="shared" si="17"/>
        <v>38888.888888888891</v>
      </c>
      <c r="H323" s="71">
        <f t="shared" si="18"/>
        <v>2593</v>
      </c>
      <c r="I323" s="71">
        <f t="shared" si="19"/>
        <v>41481.888888888891</v>
      </c>
    </row>
    <row r="324" spans="5:9" x14ac:dyDescent="0.4">
      <c r="E324" s="70">
        <v>322</v>
      </c>
      <c r="F324" s="71">
        <f t="shared" ref="F324:F387" si="20">IF($E324&gt;$B$7*12,"",F323-G323)</f>
        <v>1516666.6666667676</v>
      </c>
      <c r="G324" s="71">
        <f t="shared" ref="G324:G387" si="21">IF($E324&gt;$B$7*12,"",G323)</f>
        <v>38888.888888888891</v>
      </c>
      <c r="H324" s="71">
        <f t="shared" ref="H324:H387" si="22">IF($E324&gt;$B$7*12,"",ROUND(F324*($B$8/12),0))</f>
        <v>2528</v>
      </c>
      <c r="I324" s="71">
        <f t="shared" ref="I324:I387" si="23">IF($E324&gt;$B$7*12,"",G324+H324)</f>
        <v>41416.888888888891</v>
      </c>
    </row>
    <row r="325" spans="5:9" x14ac:dyDescent="0.4">
      <c r="E325" s="70">
        <v>323</v>
      </c>
      <c r="F325" s="71">
        <f t="shared" si="20"/>
        <v>1477777.7777778786</v>
      </c>
      <c r="G325" s="71">
        <f t="shared" si="21"/>
        <v>38888.888888888891</v>
      </c>
      <c r="H325" s="71">
        <f t="shared" si="22"/>
        <v>2463</v>
      </c>
      <c r="I325" s="71">
        <f t="shared" si="23"/>
        <v>41351.888888888891</v>
      </c>
    </row>
    <row r="326" spans="5:9" x14ac:dyDescent="0.4">
      <c r="E326" s="70">
        <v>324</v>
      </c>
      <c r="F326" s="71">
        <f t="shared" si="20"/>
        <v>1438888.8888889896</v>
      </c>
      <c r="G326" s="71">
        <f t="shared" si="21"/>
        <v>38888.888888888891</v>
      </c>
      <c r="H326" s="71">
        <f t="shared" si="22"/>
        <v>2398</v>
      </c>
      <c r="I326" s="71">
        <f t="shared" si="23"/>
        <v>41286.888888888891</v>
      </c>
    </row>
    <row r="327" spans="5:9" x14ac:dyDescent="0.4">
      <c r="E327" s="70">
        <v>325</v>
      </c>
      <c r="F327" s="71">
        <f t="shared" si="20"/>
        <v>1400000.0000001006</v>
      </c>
      <c r="G327" s="71">
        <f t="shared" si="21"/>
        <v>38888.888888888891</v>
      </c>
      <c r="H327" s="71">
        <f t="shared" si="22"/>
        <v>2333</v>
      </c>
      <c r="I327" s="71">
        <f t="shared" si="23"/>
        <v>41221.888888888891</v>
      </c>
    </row>
    <row r="328" spans="5:9" x14ac:dyDescent="0.4">
      <c r="E328" s="70">
        <v>326</v>
      </c>
      <c r="F328" s="71">
        <f t="shared" si="20"/>
        <v>1361111.1111112116</v>
      </c>
      <c r="G328" s="71">
        <f t="shared" si="21"/>
        <v>38888.888888888891</v>
      </c>
      <c r="H328" s="71">
        <f t="shared" si="22"/>
        <v>2269</v>
      </c>
      <c r="I328" s="71">
        <f t="shared" si="23"/>
        <v>41157.888888888891</v>
      </c>
    </row>
    <row r="329" spans="5:9" x14ac:dyDescent="0.4">
      <c r="E329" s="70">
        <v>327</v>
      </c>
      <c r="F329" s="71">
        <f t="shared" si="20"/>
        <v>1322222.2222223226</v>
      </c>
      <c r="G329" s="71">
        <f t="shared" si="21"/>
        <v>38888.888888888891</v>
      </c>
      <c r="H329" s="71">
        <f t="shared" si="22"/>
        <v>2204</v>
      </c>
      <c r="I329" s="71">
        <f t="shared" si="23"/>
        <v>41092.888888888891</v>
      </c>
    </row>
    <row r="330" spans="5:9" x14ac:dyDescent="0.4">
      <c r="E330" s="70">
        <v>328</v>
      </c>
      <c r="F330" s="71">
        <f t="shared" si="20"/>
        <v>1283333.3333334336</v>
      </c>
      <c r="G330" s="71">
        <f t="shared" si="21"/>
        <v>38888.888888888891</v>
      </c>
      <c r="H330" s="71">
        <f t="shared" si="22"/>
        <v>2139</v>
      </c>
      <c r="I330" s="71">
        <f t="shared" si="23"/>
        <v>41027.888888888891</v>
      </c>
    </row>
    <row r="331" spans="5:9" x14ac:dyDescent="0.4">
      <c r="E331" s="70">
        <v>329</v>
      </c>
      <c r="F331" s="71">
        <f t="shared" si="20"/>
        <v>1244444.4444445446</v>
      </c>
      <c r="G331" s="71">
        <f t="shared" si="21"/>
        <v>38888.888888888891</v>
      </c>
      <c r="H331" s="71">
        <f t="shared" si="22"/>
        <v>2074</v>
      </c>
      <c r="I331" s="71">
        <f t="shared" si="23"/>
        <v>40962.888888888891</v>
      </c>
    </row>
    <row r="332" spans="5:9" x14ac:dyDescent="0.4">
      <c r="E332" s="70">
        <v>330</v>
      </c>
      <c r="F332" s="71">
        <f t="shared" si="20"/>
        <v>1205555.5555556556</v>
      </c>
      <c r="G332" s="71">
        <f t="shared" si="21"/>
        <v>38888.888888888891</v>
      </c>
      <c r="H332" s="71">
        <f t="shared" si="22"/>
        <v>2009</v>
      </c>
      <c r="I332" s="71">
        <f t="shared" si="23"/>
        <v>40897.888888888891</v>
      </c>
    </row>
    <row r="333" spans="5:9" x14ac:dyDescent="0.4">
      <c r="E333" s="70">
        <v>331</v>
      </c>
      <c r="F333" s="71">
        <f t="shared" si="20"/>
        <v>1166666.6666667666</v>
      </c>
      <c r="G333" s="71">
        <f t="shared" si="21"/>
        <v>38888.888888888891</v>
      </c>
      <c r="H333" s="71">
        <f t="shared" si="22"/>
        <v>1944</v>
      </c>
      <c r="I333" s="71">
        <f t="shared" si="23"/>
        <v>40832.888888888891</v>
      </c>
    </row>
    <row r="334" spans="5:9" x14ac:dyDescent="0.4">
      <c r="E334" s="70">
        <v>332</v>
      </c>
      <c r="F334" s="71">
        <f t="shared" si="20"/>
        <v>1127777.7777778776</v>
      </c>
      <c r="G334" s="71">
        <f t="shared" si="21"/>
        <v>38888.888888888891</v>
      </c>
      <c r="H334" s="71">
        <f t="shared" si="22"/>
        <v>1880</v>
      </c>
      <c r="I334" s="71">
        <f t="shared" si="23"/>
        <v>40768.888888888891</v>
      </c>
    </row>
    <row r="335" spans="5:9" x14ac:dyDescent="0.4">
      <c r="E335" s="70">
        <v>333</v>
      </c>
      <c r="F335" s="71">
        <f t="shared" si="20"/>
        <v>1088888.8888889886</v>
      </c>
      <c r="G335" s="71">
        <f t="shared" si="21"/>
        <v>38888.888888888891</v>
      </c>
      <c r="H335" s="71">
        <f t="shared" si="22"/>
        <v>1815</v>
      </c>
      <c r="I335" s="71">
        <f t="shared" si="23"/>
        <v>40703.888888888891</v>
      </c>
    </row>
    <row r="336" spans="5:9" x14ac:dyDescent="0.4">
      <c r="E336" s="70">
        <v>334</v>
      </c>
      <c r="F336" s="71">
        <f t="shared" si="20"/>
        <v>1050000.0000000997</v>
      </c>
      <c r="G336" s="71">
        <f t="shared" si="21"/>
        <v>38888.888888888891</v>
      </c>
      <c r="H336" s="71">
        <f t="shared" si="22"/>
        <v>1750</v>
      </c>
      <c r="I336" s="71">
        <f t="shared" si="23"/>
        <v>40638.888888888891</v>
      </c>
    </row>
    <row r="337" spans="5:9" x14ac:dyDescent="0.4">
      <c r="E337" s="70">
        <v>335</v>
      </c>
      <c r="F337" s="71">
        <f t="shared" si="20"/>
        <v>1011111.1111112108</v>
      </c>
      <c r="G337" s="71">
        <f t="shared" si="21"/>
        <v>38888.888888888891</v>
      </c>
      <c r="H337" s="71">
        <f t="shared" si="22"/>
        <v>1685</v>
      </c>
      <c r="I337" s="71">
        <f t="shared" si="23"/>
        <v>40573.888888888891</v>
      </c>
    </row>
    <row r="338" spans="5:9" x14ac:dyDescent="0.4">
      <c r="E338" s="70">
        <v>336</v>
      </c>
      <c r="F338" s="71">
        <f t="shared" si="20"/>
        <v>972222.2222223219</v>
      </c>
      <c r="G338" s="71">
        <f t="shared" si="21"/>
        <v>38888.888888888891</v>
      </c>
      <c r="H338" s="71">
        <f t="shared" si="22"/>
        <v>1620</v>
      </c>
      <c r="I338" s="71">
        <f t="shared" si="23"/>
        <v>40508.888888888891</v>
      </c>
    </row>
    <row r="339" spans="5:9" x14ac:dyDescent="0.4">
      <c r="E339" s="70">
        <v>337</v>
      </c>
      <c r="F339" s="71">
        <f t="shared" si="20"/>
        <v>933333.33333343302</v>
      </c>
      <c r="G339" s="71">
        <f t="shared" si="21"/>
        <v>38888.888888888891</v>
      </c>
      <c r="H339" s="71">
        <f t="shared" si="22"/>
        <v>1556</v>
      </c>
      <c r="I339" s="71">
        <f t="shared" si="23"/>
        <v>40444.888888888891</v>
      </c>
    </row>
    <row r="340" spans="5:9" x14ac:dyDescent="0.4">
      <c r="E340" s="70">
        <v>338</v>
      </c>
      <c r="F340" s="71">
        <f t="shared" si="20"/>
        <v>894444.44444454415</v>
      </c>
      <c r="G340" s="71">
        <f t="shared" si="21"/>
        <v>38888.888888888891</v>
      </c>
      <c r="H340" s="71">
        <f t="shared" si="22"/>
        <v>1491</v>
      </c>
      <c r="I340" s="71">
        <f t="shared" si="23"/>
        <v>40379.888888888891</v>
      </c>
    </row>
    <row r="341" spans="5:9" x14ac:dyDescent="0.4">
      <c r="E341" s="70">
        <v>339</v>
      </c>
      <c r="F341" s="71">
        <f t="shared" si="20"/>
        <v>855555.55555565527</v>
      </c>
      <c r="G341" s="71">
        <f t="shared" si="21"/>
        <v>38888.888888888891</v>
      </c>
      <c r="H341" s="71">
        <f t="shared" si="22"/>
        <v>1426</v>
      </c>
      <c r="I341" s="71">
        <f t="shared" si="23"/>
        <v>40314.888888888891</v>
      </c>
    </row>
    <row r="342" spans="5:9" x14ac:dyDescent="0.4">
      <c r="E342" s="70">
        <v>340</v>
      </c>
      <c r="F342" s="71">
        <f t="shared" si="20"/>
        <v>816666.6666667664</v>
      </c>
      <c r="G342" s="71">
        <f t="shared" si="21"/>
        <v>38888.888888888891</v>
      </c>
      <c r="H342" s="71">
        <f t="shared" si="22"/>
        <v>1361</v>
      </c>
      <c r="I342" s="71">
        <f t="shared" si="23"/>
        <v>40249.888888888891</v>
      </c>
    </row>
    <row r="343" spans="5:9" x14ac:dyDescent="0.4">
      <c r="E343" s="70">
        <v>341</v>
      </c>
      <c r="F343" s="71">
        <f t="shared" si="20"/>
        <v>777777.77777787752</v>
      </c>
      <c r="G343" s="71">
        <f t="shared" si="21"/>
        <v>38888.888888888891</v>
      </c>
      <c r="H343" s="71">
        <f t="shared" si="22"/>
        <v>1296</v>
      </c>
      <c r="I343" s="71">
        <f t="shared" si="23"/>
        <v>40184.888888888891</v>
      </c>
    </row>
    <row r="344" spans="5:9" x14ac:dyDescent="0.4">
      <c r="E344" s="70">
        <v>342</v>
      </c>
      <c r="F344" s="71">
        <f t="shared" si="20"/>
        <v>738888.88888898864</v>
      </c>
      <c r="G344" s="71">
        <f t="shared" si="21"/>
        <v>38888.888888888891</v>
      </c>
      <c r="H344" s="71">
        <f t="shared" si="22"/>
        <v>1231</v>
      </c>
      <c r="I344" s="71">
        <f t="shared" si="23"/>
        <v>40119.888888888891</v>
      </c>
    </row>
    <row r="345" spans="5:9" x14ac:dyDescent="0.4">
      <c r="E345" s="70">
        <v>343</v>
      </c>
      <c r="F345" s="71">
        <f t="shared" si="20"/>
        <v>700000.00000009977</v>
      </c>
      <c r="G345" s="71">
        <f t="shared" si="21"/>
        <v>38888.888888888891</v>
      </c>
      <c r="H345" s="71">
        <f t="shared" si="22"/>
        <v>1167</v>
      </c>
      <c r="I345" s="71">
        <f t="shared" si="23"/>
        <v>40055.888888888891</v>
      </c>
    </row>
    <row r="346" spans="5:9" x14ac:dyDescent="0.4">
      <c r="E346" s="70">
        <v>344</v>
      </c>
      <c r="F346" s="71">
        <f t="shared" si="20"/>
        <v>661111.11111121089</v>
      </c>
      <c r="G346" s="71">
        <f t="shared" si="21"/>
        <v>38888.888888888891</v>
      </c>
      <c r="H346" s="71">
        <f t="shared" si="22"/>
        <v>1102</v>
      </c>
      <c r="I346" s="71">
        <f t="shared" si="23"/>
        <v>39990.888888888891</v>
      </c>
    </row>
    <row r="347" spans="5:9" x14ac:dyDescent="0.4">
      <c r="E347" s="70">
        <v>345</v>
      </c>
      <c r="F347" s="71">
        <f t="shared" si="20"/>
        <v>622222.22222232202</v>
      </c>
      <c r="G347" s="71">
        <f t="shared" si="21"/>
        <v>38888.888888888891</v>
      </c>
      <c r="H347" s="71">
        <f t="shared" si="22"/>
        <v>1037</v>
      </c>
      <c r="I347" s="71">
        <f t="shared" si="23"/>
        <v>39925.888888888891</v>
      </c>
    </row>
    <row r="348" spans="5:9" x14ac:dyDescent="0.4">
      <c r="E348" s="70">
        <v>346</v>
      </c>
      <c r="F348" s="71">
        <f t="shared" si="20"/>
        <v>583333.33333343314</v>
      </c>
      <c r="G348" s="71">
        <f t="shared" si="21"/>
        <v>38888.888888888891</v>
      </c>
      <c r="H348" s="71">
        <f t="shared" si="22"/>
        <v>972</v>
      </c>
      <c r="I348" s="71">
        <f t="shared" si="23"/>
        <v>39860.888888888891</v>
      </c>
    </row>
    <row r="349" spans="5:9" x14ac:dyDescent="0.4">
      <c r="E349" s="70">
        <v>347</v>
      </c>
      <c r="F349" s="71">
        <f t="shared" si="20"/>
        <v>544444.44444454426</v>
      </c>
      <c r="G349" s="71">
        <f t="shared" si="21"/>
        <v>38888.888888888891</v>
      </c>
      <c r="H349" s="71">
        <f t="shared" si="22"/>
        <v>907</v>
      </c>
      <c r="I349" s="71">
        <f t="shared" si="23"/>
        <v>39795.888888888891</v>
      </c>
    </row>
    <row r="350" spans="5:9" x14ac:dyDescent="0.4">
      <c r="E350" s="70">
        <v>348</v>
      </c>
      <c r="F350" s="71">
        <f t="shared" si="20"/>
        <v>505555.55555565539</v>
      </c>
      <c r="G350" s="71">
        <f t="shared" si="21"/>
        <v>38888.888888888891</v>
      </c>
      <c r="H350" s="71">
        <f t="shared" si="22"/>
        <v>843</v>
      </c>
      <c r="I350" s="71">
        <f t="shared" si="23"/>
        <v>39731.888888888891</v>
      </c>
    </row>
    <row r="351" spans="5:9" x14ac:dyDescent="0.4">
      <c r="E351" s="70">
        <v>349</v>
      </c>
      <c r="F351" s="71">
        <f t="shared" si="20"/>
        <v>466666.66666676651</v>
      </c>
      <c r="G351" s="71">
        <f t="shared" si="21"/>
        <v>38888.888888888891</v>
      </c>
      <c r="H351" s="71">
        <f t="shared" si="22"/>
        <v>778</v>
      </c>
      <c r="I351" s="71">
        <f t="shared" si="23"/>
        <v>39666.888888888891</v>
      </c>
    </row>
    <row r="352" spans="5:9" x14ac:dyDescent="0.4">
      <c r="E352" s="70">
        <v>350</v>
      </c>
      <c r="F352" s="71">
        <f t="shared" si="20"/>
        <v>427777.77777787764</v>
      </c>
      <c r="G352" s="71">
        <f t="shared" si="21"/>
        <v>38888.888888888891</v>
      </c>
      <c r="H352" s="71">
        <f t="shared" si="22"/>
        <v>713</v>
      </c>
      <c r="I352" s="71">
        <f t="shared" si="23"/>
        <v>39601.888888888891</v>
      </c>
    </row>
    <row r="353" spans="5:9" x14ac:dyDescent="0.4">
      <c r="E353" s="70">
        <v>351</v>
      </c>
      <c r="F353" s="71">
        <f t="shared" si="20"/>
        <v>388888.88888898876</v>
      </c>
      <c r="G353" s="71">
        <f t="shared" si="21"/>
        <v>38888.888888888891</v>
      </c>
      <c r="H353" s="71">
        <f t="shared" si="22"/>
        <v>648</v>
      </c>
      <c r="I353" s="71">
        <f t="shared" si="23"/>
        <v>39536.888888888891</v>
      </c>
    </row>
    <row r="354" spans="5:9" x14ac:dyDescent="0.4">
      <c r="E354" s="70">
        <v>352</v>
      </c>
      <c r="F354" s="71">
        <f t="shared" si="20"/>
        <v>350000.00000009988</v>
      </c>
      <c r="G354" s="71">
        <f t="shared" si="21"/>
        <v>38888.888888888891</v>
      </c>
      <c r="H354" s="71">
        <f t="shared" si="22"/>
        <v>583</v>
      </c>
      <c r="I354" s="71">
        <f t="shared" si="23"/>
        <v>39471.888888888891</v>
      </c>
    </row>
    <row r="355" spans="5:9" x14ac:dyDescent="0.4">
      <c r="E355" s="70">
        <v>353</v>
      </c>
      <c r="F355" s="71">
        <f t="shared" si="20"/>
        <v>311111.11111121101</v>
      </c>
      <c r="G355" s="71">
        <f t="shared" si="21"/>
        <v>38888.888888888891</v>
      </c>
      <c r="H355" s="71">
        <f t="shared" si="22"/>
        <v>519</v>
      </c>
      <c r="I355" s="71">
        <f t="shared" si="23"/>
        <v>39407.888888888891</v>
      </c>
    </row>
    <row r="356" spans="5:9" x14ac:dyDescent="0.4">
      <c r="E356" s="70">
        <v>354</v>
      </c>
      <c r="F356" s="71">
        <f t="shared" si="20"/>
        <v>272222.22222232213</v>
      </c>
      <c r="G356" s="71">
        <f t="shared" si="21"/>
        <v>38888.888888888891</v>
      </c>
      <c r="H356" s="71">
        <f t="shared" si="22"/>
        <v>454</v>
      </c>
      <c r="I356" s="71">
        <f t="shared" si="23"/>
        <v>39342.888888888891</v>
      </c>
    </row>
    <row r="357" spans="5:9" x14ac:dyDescent="0.4">
      <c r="E357" s="70">
        <v>355</v>
      </c>
      <c r="F357" s="71">
        <f t="shared" si="20"/>
        <v>233333.33333343326</v>
      </c>
      <c r="G357" s="71">
        <f t="shared" si="21"/>
        <v>38888.888888888891</v>
      </c>
      <c r="H357" s="71">
        <f t="shared" si="22"/>
        <v>389</v>
      </c>
      <c r="I357" s="71">
        <f t="shared" si="23"/>
        <v>39277.888888888891</v>
      </c>
    </row>
    <row r="358" spans="5:9" x14ac:dyDescent="0.4">
      <c r="E358" s="70">
        <v>356</v>
      </c>
      <c r="F358" s="71">
        <f t="shared" si="20"/>
        <v>194444.44444454438</v>
      </c>
      <c r="G358" s="71">
        <f t="shared" si="21"/>
        <v>38888.888888888891</v>
      </c>
      <c r="H358" s="71">
        <f t="shared" si="22"/>
        <v>324</v>
      </c>
      <c r="I358" s="71">
        <f t="shared" si="23"/>
        <v>39212.888888888891</v>
      </c>
    </row>
    <row r="359" spans="5:9" x14ac:dyDescent="0.4">
      <c r="E359" s="70">
        <v>357</v>
      </c>
      <c r="F359" s="71">
        <f t="shared" si="20"/>
        <v>155555.5555556555</v>
      </c>
      <c r="G359" s="71">
        <f t="shared" si="21"/>
        <v>38888.888888888891</v>
      </c>
      <c r="H359" s="71">
        <f t="shared" si="22"/>
        <v>259</v>
      </c>
      <c r="I359" s="71">
        <f t="shared" si="23"/>
        <v>39147.888888888891</v>
      </c>
    </row>
    <row r="360" spans="5:9" x14ac:dyDescent="0.4">
      <c r="E360" s="70">
        <v>358</v>
      </c>
      <c r="F360" s="71">
        <f t="shared" si="20"/>
        <v>116666.66666676661</v>
      </c>
      <c r="G360" s="71">
        <f t="shared" si="21"/>
        <v>38888.888888888891</v>
      </c>
      <c r="H360" s="71">
        <f t="shared" si="22"/>
        <v>194</v>
      </c>
      <c r="I360" s="71">
        <f t="shared" si="23"/>
        <v>39082.888888888891</v>
      </c>
    </row>
    <row r="361" spans="5:9" x14ac:dyDescent="0.4">
      <c r="E361" s="70">
        <v>359</v>
      </c>
      <c r="F361" s="71">
        <f t="shared" si="20"/>
        <v>77777.777777877724</v>
      </c>
      <c r="G361" s="71">
        <f t="shared" si="21"/>
        <v>38888.888888888891</v>
      </c>
      <c r="H361" s="71">
        <f t="shared" si="22"/>
        <v>130</v>
      </c>
      <c r="I361" s="71">
        <f t="shared" si="23"/>
        <v>39018.888888888891</v>
      </c>
    </row>
    <row r="362" spans="5:9" x14ac:dyDescent="0.4">
      <c r="E362" s="70">
        <v>360</v>
      </c>
      <c r="F362" s="71">
        <f t="shared" si="20"/>
        <v>38888.888888988833</v>
      </c>
      <c r="G362" s="71">
        <f t="shared" si="21"/>
        <v>38888.888888888891</v>
      </c>
      <c r="H362" s="71">
        <f t="shared" si="22"/>
        <v>65</v>
      </c>
      <c r="I362" s="71">
        <f t="shared" si="23"/>
        <v>38953.888888888891</v>
      </c>
    </row>
    <row r="363" spans="5:9" x14ac:dyDescent="0.4">
      <c r="E363" s="70">
        <v>361</v>
      </c>
      <c r="F363" s="71" t="str">
        <f t="shared" si="20"/>
        <v/>
      </c>
      <c r="G363" s="71" t="str">
        <f t="shared" si="21"/>
        <v/>
      </c>
      <c r="H363" s="71" t="str">
        <f t="shared" si="22"/>
        <v/>
      </c>
      <c r="I363" s="71" t="str">
        <f t="shared" si="23"/>
        <v/>
      </c>
    </row>
    <row r="364" spans="5:9" x14ac:dyDescent="0.4">
      <c r="E364" s="70">
        <v>362</v>
      </c>
      <c r="F364" s="71" t="str">
        <f t="shared" si="20"/>
        <v/>
      </c>
      <c r="G364" s="71" t="str">
        <f t="shared" si="21"/>
        <v/>
      </c>
      <c r="H364" s="71" t="str">
        <f t="shared" si="22"/>
        <v/>
      </c>
      <c r="I364" s="71" t="str">
        <f t="shared" si="23"/>
        <v/>
      </c>
    </row>
    <row r="365" spans="5:9" x14ac:dyDescent="0.4">
      <c r="E365" s="70">
        <v>363</v>
      </c>
      <c r="F365" s="71" t="str">
        <f t="shared" si="20"/>
        <v/>
      </c>
      <c r="G365" s="71" t="str">
        <f t="shared" si="21"/>
        <v/>
      </c>
      <c r="H365" s="71" t="str">
        <f t="shared" si="22"/>
        <v/>
      </c>
      <c r="I365" s="71" t="str">
        <f t="shared" si="23"/>
        <v/>
      </c>
    </row>
    <row r="366" spans="5:9" x14ac:dyDescent="0.4">
      <c r="E366" s="70">
        <v>364</v>
      </c>
      <c r="F366" s="71" t="str">
        <f t="shared" si="20"/>
        <v/>
      </c>
      <c r="G366" s="71" t="str">
        <f t="shared" si="21"/>
        <v/>
      </c>
      <c r="H366" s="71" t="str">
        <f t="shared" si="22"/>
        <v/>
      </c>
      <c r="I366" s="71" t="str">
        <f t="shared" si="23"/>
        <v/>
      </c>
    </row>
    <row r="367" spans="5:9" x14ac:dyDescent="0.4">
      <c r="E367" s="70">
        <v>365</v>
      </c>
      <c r="F367" s="71" t="str">
        <f t="shared" si="20"/>
        <v/>
      </c>
      <c r="G367" s="71" t="str">
        <f t="shared" si="21"/>
        <v/>
      </c>
      <c r="H367" s="71" t="str">
        <f t="shared" si="22"/>
        <v/>
      </c>
      <c r="I367" s="71" t="str">
        <f t="shared" si="23"/>
        <v/>
      </c>
    </row>
    <row r="368" spans="5:9" x14ac:dyDescent="0.4">
      <c r="E368" s="70">
        <v>366</v>
      </c>
      <c r="F368" s="71" t="str">
        <f t="shared" si="20"/>
        <v/>
      </c>
      <c r="G368" s="71" t="str">
        <f t="shared" si="21"/>
        <v/>
      </c>
      <c r="H368" s="71" t="str">
        <f t="shared" si="22"/>
        <v/>
      </c>
      <c r="I368" s="71" t="str">
        <f t="shared" si="23"/>
        <v/>
      </c>
    </row>
    <row r="369" spans="5:9" x14ac:dyDescent="0.4">
      <c r="E369" s="70">
        <v>367</v>
      </c>
      <c r="F369" s="71" t="str">
        <f t="shared" si="20"/>
        <v/>
      </c>
      <c r="G369" s="71" t="str">
        <f t="shared" si="21"/>
        <v/>
      </c>
      <c r="H369" s="71" t="str">
        <f t="shared" si="22"/>
        <v/>
      </c>
      <c r="I369" s="71" t="str">
        <f t="shared" si="23"/>
        <v/>
      </c>
    </row>
    <row r="370" spans="5:9" x14ac:dyDescent="0.4">
      <c r="E370" s="70">
        <v>368</v>
      </c>
      <c r="F370" s="71" t="str">
        <f t="shared" si="20"/>
        <v/>
      </c>
      <c r="G370" s="71" t="str">
        <f t="shared" si="21"/>
        <v/>
      </c>
      <c r="H370" s="71" t="str">
        <f t="shared" si="22"/>
        <v/>
      </c>
      <c r="I370" s="71" t="str">
        <f t="shared" si="23"/>
        <v/>
      </c>
    </row>
    <row r="371" spans="5:9" x14ac:dyDescent="0.4">
      <c r="E371" s="70">
        <v>369</v>
      </c>
      <c r="F371" s="71" t="str">
        <f t="shared" si="20"/>
        <v/>
      </c>
      <c r="G371" s="71" t="str">
        <f t="shared" si="21"/>
        <v/>
      </c>
      <c r="H371" s="71" t="str">
        <f t="shared" si="22"/>
        <v/>
      </c>
      <c r="I371" s="71" t="str">
        <f t="shared" si="23"/>
        <v/>
      </c>
    </row>
    <row r="372" spans="5:9" x14ac:dyDescent="0.4">
      <c r="E372" s="70">
        <v>370</v>
      </c>
      <c r="F372" s="71" t="str">
        <f t="shared" si="20"/>
        <v/>
      </c>
      <c r="G372" s="71" t="str">
        <f t="shared" si="21"/>
        <v/>
      </c>
      <c r="H372" s="71" t="str">
        <f t="shared" si="22"/>
        <v/>
      </c>
      <c r="I372" s="71" t="str">
        <f t="shared" si="23"/>
        <v/>
      </c>
    </row>
    <row r="373" spans="5:9" x14ac:dyDescent="0.4">
      <c r="E373" s="70">
        <v>371</v>
      </c>
      <c r="F373" s="71" t="str">
        <f t="shared" si="20"/>
        <v/>
      </c>
      <c r="G373" s="71" t="str">
        <f t="shared" si="21"/>
        <v/>
      </c>
      <c r="H373" s="71" t="str">
        <f t="shared" si="22"/>
        <v/>
      </c>
      <c r="I373" s="71" t="str">
        <f t="shared" si="23"/>
        <v/>
      </c>
    </row>
    <row r="374" spans="5:9" x14ac:dyDescent="0.4">
      <c r="E374" s="70">
        <v>372</v>
      </c>
      <c r="F374" s="71" t="str">
        <f t="shared" si="20"/>
        <v/>
      </c>
      <c r="G374" s="71" t="str">
        <f t="shared" si="21"/>
        <v/>
      </c>
      <c r="H374" s="71" t="str">
        <f t="shared" si="22"/>
        <v/>
      </c>
      <c r="I374" s="71" t="str">
        <f t="shared" si="23"/>
        <v/>
      </c>
    </row>
    <row r="375" spans="5:9" x14ac:dyDescent="0.4">
      <c r="E375" s="70">
        <v>373</v>
      </c>
      <c r="F375" s="71" t="str">
        <f t="shared" si="20"/>
        <v/>
      </c>
      <c r="G375" s="71" t="str">
        <f t="shared" si="21"/>
        <v/>
      </c>
      <c r="H375" s="71" t="str">
        <f t="shared" si="22"/>
        <v/>
      </c>
      <c r="I375" s="71" t="str">
        <f t="shared" si="23"/>
        <v/>
      </c>
    </row>
    <row r="376" spans="5:9" x14ac:dyDescent="0.4">
      <c r="E376" s="70">
        <v>374</v>
      </c>
      <c r="F376" s="71" t="str">
        <f t="shared" si="20"/>
        <v/>
      </c>
      <c r="G376" s="71" t="str">
        <f t="shared" si="21"/>
        <v/>
      </c>
      <c r="H376" s="71" t="str">
        <f t="shared" si="22"/>
        <v/>
      </c>
      <c r="I376" s="71" t="str">
        <f t="shared" si="23"/>
        <v/>
      </c>
    </row>
    <row r="377" spans="5:9" x14ac:dyDescent="0.4">
      <c r="E377" s="70">
        <v>375</v>
      </c>
      <c r="F377" s="71" t="str">
        <f t="shared" si="20"/>
        <v/>
      </c>
      <c r="G377" s="71" t="str">
        <f t="shared" si="21"/>
        <v/>
      </c>
      <c r="H377" s="71" t="str">
        <f t="shared" si="22"/>
        <v/>
      </c>
      <c r="I377" s="71" t="str">
        <f t="shared" si="23"/>
        <v/>
      </c>
    </row>
    <row r="378" spans="5:9" x14ac:dyDescent="0.4">
      <c r="E378" s="70">
        <v>376</v>
      </c>
      <c r="F378" s="71" t="str">
        <f t="shared" si="20"/>
        <v/>
      </c>
      <c r="G378" s="71" t="str">
        <f t="shared" si="21"/>
        <v/>
      </c>
      <c r="H378" s="71" t="str">
        <f t="shared" si="22"/>
        <v/>
      </c>
      <c r="I378" s="71" t="str">
        <f t="shared" si="23"/>
        <v/>
      </c>
    </row>
    <row r="379" spans="5:9" x14ac:dyDescent="0.4">
      <c r="E379" s="70">
        <v>377</v>
      </c>
      <c r="F379" s="71" t="str">
        <f t="shared" si="20"/>
        <v/>
      </c>
      <c r="G379" s="71" t="str">
        <f t="shared" si="21"/>
        <v/>
      </c>
      <c r="H379" s="71" t="str">
        <f t="shared" si="22"/>
        <v/>
      </c>
      <c r="I379" s="71" t="str">
        <f t="shared" si="23"/>
        <v/>
      </c>
    </row>
    <row r="380" spans="5:9" x14ac:dyDescent="0.4">
      <c r="E380" s="70">
        <v>378</v>
      </c>
      <c r="F380" s="71" t="str">
        <f t="shared" si="20"/>
        <v/>
      </c>
      <c r="G380" s="71" t="str">
        <f t="shared" si="21"/>
        <v/>
      </c>
      <c r="H380" s="71" t="str">
        <f t="shared" si="22"/>
        <v/>
      </c>
      <c r="I380" s="71" t="str">
        <f t="shared" si="23"/>
        <v/>
      </c>
    </row>
    <row r="381" spans="5:9" x14ac:dyDescent="0.4">
      <c r="E381" s="70">
        <v>379</v>
      </c>
      <c r="F381" s="71" t="str">
        <f t="shared" si="20"/>
        <v/>
      </c>
      <c r="G381" s="71" t="str">
        <f t="shared" si="21"/>
        <v/>
      </c>
      <c r="H381" s="71" t="str">
        <f t="shared" si="22"/>
        <v/>
      </c>
      <c r="I381" s="71" t="str">
        <f t="shared" si="23"/>
        <v/>
      </c>
    </row>
    <row r="382" spans="5:9" x14ac:dyDescent="0.4">
      <c r="E382" s="70">
        <v>380</v>
      </c>
      <c r="F382" s="71" t="str">
        <f t="shared" si="20"/>
        <v/>
      </c>
      <c r="G382" s="71" t="str">
        <f t="shared" si="21"/>
        <v/>
      </c>
      <c r="H382" s="71" t="str">
        <f t="shared" si="22"/>
        <v/>
      </c>
      <c r="I382" s="71" t="str">
        <f t="shared" si="23"/>
        <v/>
      </c>
    </row>
    <row r="383" spans="5:9" x14ac:dyDescent="0.4">
      <c r="E383" s="70">
        <v>381</v>
      </c>
      <c r="F383" s="71" t="str">
        <f t="shared" si="20"/>
        <v/>
      </c>
      <c r="G383" s="71" t="str">
        <f t="shared" si="21"/>
        <v/>
      </c>
      <c r="H383" s="71" t="str">
        <f t="shared" si="22"/>
        <v/>
      </c>
      <c r="I383" s="71" t="str">
        <f t="shared" si="23"/>
        <v/>
      </c>
    </row>
    <row r="384" spans="5:9" x14ac:dyDescent="0.4">
      <c r="E384" s="70">
        <v>382</v>
      </c>
      <c r="F384" s="71" t="str">
        <f t="shared" si="20"/>
        <v/>
      </c>
      <c r="G384" s="71" t="str">
        <f t="shared" si="21"/>
        <v/>
      </c>
      <c r="H384" s="71" t="str">
        <f t="shared" si="22"/>
        <v/>
      </c>
      <c r="I384" s="71" t="str">
        <f t="shared" si="23"/>
        <v/>
      </c>
    </row>
    <row r="385" spans="5:9" x14ac:dyDescent="0.4">
      <c r="E385" s="70">
        <v>383</v>
      </c>
      <c r="F385" s="71" t="str">
        <f t="shared" si="20"/>
        <v/>
      </c>
      <c r="G385" s="71" t="str">
        <f t="shared" si="21"/>
        <v/>
      </c>
      <c r="H385" s="71" t="str">
        <f t="shared" si="22"/>
        <v/>
      </c>
      <c r="I385" s="71" t="str">
        <f t="shared" si="23"/>
        <v/>
      </c>
    </row>
    <row r="386" spans="5:9" x14ac:dyDescent="0.4">
      <c r="E386" s="70">
        <v>384</v>
      </c>
      <c r="F386" s="71" t="str">
        <f t="shared" si="20"/>
        <v/>
      </c>
      <c r="G386" s="71" t="str">
        <f t="shared" si="21"/>
        <v/>
      </c>
      <c r="H386" s="71" t="str">
        <f t="shared" si="22"/>
        <v/>
      </c>
      <c r="I386" s="71" t="str">
        <f t="shared" si="23"/>
        <v/>
      </c>
    </row>
    <row r="387" spans="5:9" x14ac:dyDescent="0.4">
      <c r="E387" s="70">
        <v>385</v>
      </c>
      <c r="F387" s="71" t="str">
        <f t="shared" si="20"/>
        <v/>
      </c>
      <c r="G387" s="71" t="str">
        <f t="shared" si="21"/>
        <v/>
      </c>
      <c r="H387" s="71" t="str">
        <f t="shared" si="22"/>
        <v/>
      </c>
      <c r="I387" s="71" t="str">
        <f t="shared" si="23"/>
        <v/>
      </c>
    </row>
    <row r="388" spans="5:9" x14ac:dyDescent="0.4">
      <c r="E388" s="70">
        <v>386</v>
      </c>
      <c r="F388" s="71" t="str">
        <f t="shared" ref="F388:F451" si="24">IF($E388&gt;$B$7*12,"",F387-G387)</f>
        <v/>
      </c>
      <c r="G388" s="71" t="str">
        <f t="shared" ref="G388:G451" si="25">IF($E388&gt;$B$7*12,"",G387)</f>
        <v/>
      </c>
      <c r="H388" s="71" t="str">
        <f t="shared" ref="H388:H451" si="26">IF($E388&gt;$B$7*12,"",ROUND(F388*($B$8/12),0))</f>
        <v/>
      </c>
      <c r="I388" s="71" t="str">
        <f t="shared" ref="I388:I451" si="27">IF($E388&gt;$B$7*12,"",G388+H388)</f>
        <v/>
      </c>
    </row>
    <row r="389" spans="5:9" x14ac:dyDescent="0.4">
      <c r="E389" s="70">
        <v>387</v>
      </c>
      <c r="F389" s="71" t="str">
        <f t="shared" si="24"/>
        <v/>
      </c>
      <c r="G389" s="71" t="str">
        <f t="shared" si="25"/>
        <v/>
      </c>
      <c r="H389" s="71" t="str">
        <f t="shared" si="26"/>
        <v/>
      </c>
      <c r="I389" s="71" t="str">
        <f t="shared" si="27"/>
        <v/>
      </c>
    </row>
    <row r="390" spans="5:9" x14ac:dyDescent="0.4">
      <c r="E390" s="70">
        <v>388</v>
      </c>
      <c r="F390" s="71" t="str">
        <f t="shared" si="24"/>
        <v/>
      </c>
      <c r="G390" s="71" t="str">
        <f t="shared" si="25"/>
        <v/>
      </c>
      <c r="H390" s="71" t="str">
        <f t="shared" si="26"/>
        <v/>
      </c>
      <c r="I390" s="71" t="str">
        <f t="shared" si="27"/>
        <v/>
      </c>
    </row>
    <row r="391" spans="5:9" x14ac:dyDescent="0.4">
      <c r="E391" s="70">
        <v>389</v>
      </c>
      <c r="F391" s="71" t="str">
        <f t="shared" si="24"/>
        <v/>
      </c>
      <c r="G391" s="71" t="str">
        <f t="shared" si="25"/>
        <v/>
      </c>
      <c r="H391" s="71" t="str">
        <f t="shared" si="26"/>
        <v/>
      </c>
      <c r="I391" s="71" t="str">
        <f t="shared" si="27"/>
        <v/>
      </c>
    </row>
    <row r="392" spans="5:9" x14ac:dyDescent="0.4">
      <c r="E392" s="70">
        <v>390</v>
      </c>
      <c r="F392" s="71" t="str">
        <f t="shared" si="24"/>
        <v/>
      </c>
      <c r="G392" s="71" t="str">
        <f t="shared" si="25"/>
        <v/>
      </c>
      <c r="H392" s="71" t="str">
        <f t="shared" si="26"/>
        <v/>
      </c>
      <c r="I392" s="71" t="str">
        <f t="shared" si="27"/>
        <v/>
      </c>
    </row>
    <row r="393" spans="5:9" x14ac:dyDescent="0.4">
      <c r="E393" s="70">
        <v>391</v>
      </c>
      <c r="F393" s="71" t="str">
        <f t="shared" si="24"/>
        <v/>
      </c>
      <c r="G393" s="71" t="str">
        <f t="shared" si="25"/>
        <v/>
      </c>
      <c r="H393" s="71" t="str">
        <f t="shared" si="26"/>
        <v/>
      </c>
      <c r="I393" s="71" t="str">
        <f t="shared" si="27"/>
        <v/>
      </c>
    </row>
    <row r="394" spans="5:9" x14ac:dyDescent="0.4">
      <c r="E394" s="70">
        <v>392</v>
      </c>
      <c r="F394" s="71" t="str">
        <f t="shared" si="24"/>
        <v/>
      </c>
      <c r="G394" s="71" t="str">
        <f t="shared" si="25"/>
        <v/>
      </c>
      <c r="H394" s="71" t="str">
        <f t="shared" si="26"/>
        <v/>
      </c>
      <c r="I394" s="71" t="str">
        <f t="shared" si="27"/>
        <v/>
      </c>
    </row>
    <row r="395" spans="5:9" x14ac:dyDescent="0.4">
      <c r="E395" s="70">
        <v>393</v>
      </c>
      <c r="F395" s="71" t="str">
        <f t="shared" si="24"/>
        <v/>
      </c>
      <c r="G395" s="71" t="str">
        <f t="shared" si="25"/>
        <v/>
      </c>
      <c r="H395" s="71" t="str">
        <f t="shared" si="26"/>
        <v/>
      </c>
      <c r="I395" s="71" t="str">
        <f t="shared" si="27"/>
        <v/>
      </c>
    </row>
    <row r="396" spans="5:9" x14ac:dyDescent="0.4">
      <c r="E396" s="70">
        <v>394</v>
      </c>
      <c r="F396" s="71" t="str">
        <f t="shared" si="24"/>
        <v/>
      </c>
      <c r="G396" s="71" t="str">
        <f t="shared" si="25"/>
        <v/>
      </c>
      <c r="H396" s="71" t="str">
        <f t="shared" si="26"/>
        <v/>
      </c>
      <c r="I396" s="71" t="str">
        <f t="shared" si="27"/>
        <v/>
      </c>
    </row>
    <row r="397" spans="5:9" x14ac:dyDescent="0.4">
      <c r="E397" s="70">
        <v>395</v>
      </c>
      <c r="F397" s="71" t="str">
        <f t="shared" si="24"/>
        <v/>
      </c>
      <c r="G397" s="71" t="str">
        <f t="shared" si="25"/>
        <v/>
      </c>
      <c r="H397" s="71" t="str">
        <f t="shared" si="26"/>
        <v/>
      </c>
      <c r="I397" s="71" t="str">
        <f t="shared" si="27"/>
        <v/>
      </c>
    </row>
    <row r="398" spans="5:9" x14ac:dyDescent="0.4">
      <c r="E398" s="70">
        <v>396</v>
      </c>
      <c r="F398" s="71" t="str">
        <f t="shared" si="24"/>
        <v/>
      </c>
      <c r="G398" s="71" t="str">
        <f t="shared" si="25"/>
        <v/>
      </c>
      <c r="H398" s="71" t="str">
        <f t="shared" si="26"/>
        <v/>
      </c>
      <c r="I398" s="71" t="str">
        <f t="shared" si="27"/>
        <v/>
      </c>
    </row>
    <row r="399" spans="5:9" x14ac:dyDescent="0.4">
      <c r="E399" s="70">
        <v>397</v>
      </c>
      <c r="F399" s="71" t="str">
        <f t="shared" si="24"/>
        <v/>
      </c>
      <c r="G399" s="71" t="str">
        <f t="shared" si="25"/>
        <v/>
      </c>
      <c r="H399" s="71" t="str">
        <f t="shared" si="26"/>
        <v/>
      </c>
      <c r="I399" s="71" t="str">
        <f t="shared" si="27"/>
        <v/>
      </c>
    </row>
    <row r="400" spans="5:9" x14ac:dyDescent="0.4">
      <c r="E400" s="70">
        <v>398</v>
      </c>
      <c r="F400" s="71" t="str">
        <f t="shared" si="24"/>
        <v/>
      </c>
      <c r="G400" s="71" t="str">
        <f t="shared" si="25"/>
        <v/>
      </c>
      <c r="H400" s="71" t="str">
        <f t="shared" si="26"/>
        <v/>
      </c>
      <c r="I400" s="71" t="str">
        <f t="shared" si="27"/>
        <v/>
      </c>
    </row>
    <row r="401" spans="5:9" x14ac:dyDescent="0.4">
      <c r="E401" s="70">
        <v>399</v>
      </c>
      <c r="F401" s="71" t="str">
        <f t="shared" si="24"/>
        <v/>
      </c>
      <c r="G401" s="71" t="str">
        <f t="shared" si="25"/>
        <v/>
      </c>
      <c r="H401" s="71" t="str">
        <f t="shared" si="26"/>
        <v/>
      </c>
      <c r="I401" s="71" t="str">
        <f t="shared" si="27"/>
        <v/>
      </c>
    </row>
    <row r="402" spans="5:9" x14ac:dyDescent="0.4">
      <c r="E402" s="70">
        <v>400</v>
      </c>
      <c r="F402" s="71" t="str">
        <f t="shared" si="24"/>
        <v/>
      </c>
      <c r="G402" s="71" t="str">
        <f t="shared" si="25"/>
        <v/>
      </c>
      <c r="H402" s="71" t="str">
        <f t="shared" si="26"/>
        <v/>
      </c>
      <c r="I402" s="71" t="str">
        <f t="shared" si="27"/>
        <v/>
      </c>
    </row>
    <row r="403" spans="5:9" x14ac:dyDescent="0.4">
      <c r="E403" s="70">
        <v>401</v>
      </c>
      <c r="F403" s="71" t="str">
        <f t="shared" si="24"/>
        <v/>
      </c>
      <c r="G403" s="71" t="str">
        <f t="shared" si="25"/>
        <v/>
      </c>
      <c r="H403" s="71" t="str">
        <f t="shared" si="26"/>
        <v/>
      </c>
      <c r="I403" s="71" t="str">
        <f t="shared" si="27"/>
        <v/>
      </c>
    </row>
    <row r="404" spans="5:9" x14ac:dyDescent="0.4">
      <c r="E404" s="70">
        <v>402</v>
      </c>
      <c r="F404" s="71" t="str">
        <f t="shared" si="24"/>
        <v/>
      </c>
      <c r="G404" s="71" t="str">
        <f t="shared" si="25"/>
        <v/>
      </c>
      <c r="H404" s="71" t="str">
        <f t="shared" si="26"/>
        <v/>
      </c>
      <c r="I404" s="71" t="str">
        <f t="shared" si="27"/>
        <v/>
      </c>
    </row>
    <row r="405" spans="5:9" x14ac:dyDescent="0.4">
      <c r="E405" s="70">
        <v>403</v>
      </c>
      <c r="F405" s="71" t="str">
        <f t="shared" si="24"/>
        <v/>
      </c>
      <c r="G405" s="71" t="str">
        <f t="shared" si="25"/>
        <v/>
      </c>
      <c r="H405" s="71" t="str">
        <f t="shared" si="26"/>
        <v/>
      </c>
      <c r="I405" s="71" t="str">
        <f t="shared" si="27"/>
        <v/>
      </c>
    </row>
    <row r="406" spans="5:9" x14ac:dyDescent="0.4">
      <c r="E406" s="70">
        <v>404</v>
      </c>
      <c r="F406" s="71" t="str">
        <f t="shared" si="24"/>
        <v/>
      </c>
      <c r="G406" s="71" t="str">
        <f t="shared" si="25"/>
        <v/>
      </c>
      <c r="H406" s="71" t="str">
        <f t="shared" si="26"/>
        <v/>
      </c>
      <c r="I406" s="71" t="str">
        <f t="shared" si="27"/>
        <v/>
      </c>
    </row>
    <row r="407" spans="5:9" x14ac:dyDescent="0.4">
      <c r="E407" s="70">
        <v>405</v>
      </c>
      <c r="F407" s="71" t="str">
        <f t="shared" si="24"/>
        <v/>
      </c>
      <c r="G407" s="71" t="str">
        <f t="shared" si="25"/>
        <v/>
      </c>
      <c r="H407" s="71" t="str">
        <f t="shared" si="26"/>
        <v/>
      </c>
      <c r="I407" s="71" t="str">
        <f t="shared" si="27"/>
        <v/>
      </c>
    </row>
    <row r="408" spans="5:9" x14ac:dyDescent="0.4">
      <c r="E408" s="70">
        <v>406</v>
      </c>
      <c r="F408" s="71" t="str">
        <f t="shared" si="24"/>
        <v/>
      </c>
      <c r="G408" s="71" t="str">
        <f t="shared" si="25"/>
        <v/>
      </c>
      <c r="H408" s="71" t="str">
        <f t="shared" si="26"/>
        <v/>
      </c>
      <c r="I408" s="71" t="str">
        <f t="shared" si="27"/>
        <v/>
      </c>
    </row>
    <row r="409" spans="5:9" x14ac:dyDescent="0.4">
      <c r="E409" s="70">
        <v>407</v>
      </c>
      <c r="F409" s="71" t="str">
        <f t="shared" si="24"/>
        <v/>
      </c>
      <c r="G409" s="71" t="str">
        <f t="shared" si="25"/>
        <v/>
      </c>
      <c r="H409" s="71" t="str">
        <f t="shared" si="26"/>
        <v/>
      </c>
      <c r="I409" s="71" t="str">
        <f t="shared" si="27"/>
        <v/>
      </c>
    </row>
    <row r="410" spans="5:9" x14ac:dyDescent="0.4">
      <c r="E410" s="70">
        <v>408</v>
      </c>
      <c r="F410" s="71" t="str">
        <f t="shared" si="24"/>
        <v/>
      </c>
      <c r="G410" s="71" t="str">
        <f t="shared" si="25"/>
        <v/>
      </c>
      <c r="H410" s="71" t="str">
        <f t="shared" si="26"/>
        <v/>
      </c>
      <c r="I410" s="71" t="str">
        <f t="shared" si="27"/>
        <v/>
      </c>
    </row>
    <row r="411" spans="5:9" x14ac:dyDescent="0.4">
      <c r="E411" s="70">
        <v>409</v>
      </c>
      <c r="F411" s="71" t="str">
        <f t="shared" si="24"/>
        <v/>
      </c>
      <c r="G411" s="71" t="str">
        <f t="shared" si="25"/>
        <v/>
      </c>
      <c r="H411" s="71" t="str">
        <f t="shared" si="26"/>
        <v/>
      </c>
      <c r="I411" s="71" t="str">
        <f t="shared" si="27"/>
        <v/>
      </c>
    </row>
    <row r="412" spans="5:9" x14ac:dyDescent="0.4">
      <c r="E412" s="70">
        <v>410</v>
      </c>
      <c r="F412" s="71" t="str">
        <f t="shared" si="24"/>
        <v/>
      </c>
      <c r="G412" s="71" t="str">
        <f t="shared" si="25"/>
        <v/>
      </c>
      <c r="H412" s="71" t="str">
        <f t="shared" si="26"/>
        <v/>
      </c>
      <c r="I412" s="71" t="str">
        <f t="shared" si="27"/>
        <v/>
      </c>
    </row>
    <row r="413" spans="5:9" x14ac:dyDescent="0.4">
      <c r="E413" s="70">
        <v>411</v>
      </c>
      <c r="F413" s="71" t="str">
        <f t="shared" si="24"/>
        <v/>
      </c>
      <c r="G413" s="71" t="str">
        <f t="shared" si="25"/>
        <v/>
      </c>
      <c r="H413" s="71" t="str">
        <f t="shared" si="26"/>
        <v/>
      </c>
      <c r="I413" s="71" t="str">
        <f t="shared" si="27"/>
        <v/>
      </c>
    </row>
    <row r="414" spans="5:9" x14ac:dyDescent="0.4">
      <c r="E414" s="70">
        <v>412</v>
      </c>
      <c r="F414" s="71" t="str">
        <f t="shared" si="24"/>
        <v/>
      </c>
      <c r="G414" s="71" t="str">
        <f t="shared" si="25"/>
        <v/>
      </c>
      <c r="H414" s="71" t="str">
        <f t="shared" si="26"/>
        <v/>
      </c>
      <c r="I414" s="71" t="str">
        <f t="shared" si="27"/>
        <v/>
      </c>
    </row>
    <row r="415" spans="5:9" x14ac:dyDescent="0.4">
      <c r="E415" s="70">
        <v>413</v>
      </c>
      <c r="F415" s="71" t="str">
        <f t="shared" si="24"/>
        <v/>
      </c>
      <c r="G415" s="71" t="str">
        <f t="shared" si="25"/>
        <v/>
      </c>
      <c r="H415" s="71" t="str">
        <f t="shared" si="26"/>
        <v/>
      </c>
      <c r="I415" s="71" t="str">
        <f t="shared" si="27"/>
        <v/>
      </c>
    </row>
    <row r="416" spans="5:9" x14ac:dyDescent="0.4">
      <c r="E416" s="70">
        <v>414</v>
      </c>
      <c r="F416" s="71" t="str">
        <f t="shared" si="24"/>
        <v/>
      </c>
      <c r="G416" s="71" t="str">
        <f t="shared" si="25"/>
        <v/>
      </c>
      <c r="H416" s="71" t="str">
        <f t="shared" si="26"/>
        <v/>
      </c>
      <c r="I416" s="71" t="str">
        <f t="shared" si="27"/>
        <v/>
      </c>
    </row>
    <row r="417" spans="5:9" x14ac:dyDescent="0.4">
      <c r="E417" s="70">
        <v>415</v>
      </c>
      <c r="F417" s="71" t="str">
        <f t="shared" si="24"/>
        <v/>
      </c>
      <c r="G417" s="71" t="str">
        <f t="shared" si="25"/>
        <v/>
      </c>
      <c r="H417" s="71" t="str">
        <f t="shared" si="26"/>
        <v/>
      </c>
      <c r="I417" s="71" t="str">
        <f t="shared" si="27"/>
        <v/>
      </c>
    </row>
    <row r="418" spans="5:9" x14ac:dyDescent="0.4">
      <c r="E418" s="70">
        <v>416</v>
      </c>
      <c r="F418" s="71" t="str">
        <f t="shared" si="24"/>
        <v/>
      </c>
      <c r="G418" s="71" t="str">
        <f t="shared" si="25"/>
        <v/>
      </c>
      <c r="H418" s="71" t="str">
        <f t="shared" si="26"/>
        <v/>
      </c>
      <c r="I418" s="71" t="str">
        <f t="shared" si="27"/>
        <v/>
      </c>
    </row>
    <row r="419" spans="5:9" x14ac:dyDescent="0.4">
      <c r="E419" s="70">
        <v>417</v>
      </c>
      <c r="F419" s="71" t="str">
        <f t="shared" si="24"/>
        <v/>
      </c>
      <c r="G419" s="71" t="str">
        <f t="shared" si="25"/>
        <v/>
      </c>
      <c r="H419" s="71" t="str">
        <f t="shared" si="26"/>
        <v/>
      </c>
      <c r="I419" s="71" t="str">
        <f t="shared" si="27"/>
        <v/>
      </c>
    </row>
    <row r="420" spans="5:9" x14ac:dyDescent="0.4">
      <c r="E420" s="70">
        <v>418</v>
      </c>
      <c r="F420" s="71" t="str">
        <f t="shared" si="24"/>
        <v/>
      </c>
      <c r="G420" s="71" t="str">
        <f t="shared" si="25"/>
        <v/>
      </c>
      <c r="H420" s="71" t="str">
        <f t="shared" si="26"/>
        <v/>
      </c>
      <c r="I420" s="71" t="str">
        <f t="shared" si="27"/>
        <v/>
      </c>
    </row>
    <row r="421" spans="5:9" x14ac:dyDescent="0.4">
      <c r="E421" s="70">
        <v>419</v>
      </c>
      <c r="F421" s="71" t="str">
        <f t="shared" si="24"/>
        <v/>
      </c>
      <c r="G421" s="71" t="str">
        <f t="shared" si="25"/>
        <v/>
      </c>
      <c r="H421" s="71" t="str">
        <f t="shared" si="26"/>
        <v/>
      </c>
      <c r="I421" s="71" t="str">
        <f t="shared" si="27"/>
        <v/>
      </c>
    </row>
    <row r="422" spans="5:9" x14ac:dyDescent="0.4">
      <c r="E422" s="70">
        <v>420</v>
      </c>
      <c r="F422" s="71" t="str">
        <f t="shared" si="24"/>
        <v/>
      </c>
      <c r="G422" s="71" t="str">
        <f t="shared" si="25"/>
        <v/>
      </c>
      <c r="H422" s="71" t="str">
        <f t="shared" si="26"/>
        <v/>
      </c>
      <c r="I422" s="71" t="str">
        <f t="shared" si="27"/>
        <v/>
      </c>
    </row>
    <row r="423" spans="5:9" x14ac:dyDescent="0.4">
      <c r="E423" s="70">
        <v>421</v>
      </c>
      <c r="F423" s="71" t="str">
        <f t="shared" si="24"/>
        <v/>
      </c>
      <c r="G423" s="71" t="str">
        <f t="shared" si="25"/>
        <v/>
      </c>
      <c r="H423" s="71" t="str">
        <f t="shared" si="26"/>
        <v/>
      </c>
      <c r="I423" s="71" t="str">
        <f t="shared" si="27"/>
        <v/>
      </c>
    </row>
    <row r="424" spans="5:9" x14ac:dyDescent="0.4">
      <c r="E424" s="70">
        <v>422</v>
      </c>
      <c r="F424" s="71" t="str">
        <f t="shared" si="24"/>
        <v/>
      </c>
      <c r="G424" s="71" t="str">
        <f t="shared" si="25"/>
        <v/>
      </c>
      <c r="H424" s="71" t="str">
        <f t="shared" si="26"/>
        <v/>
      </c>
      <c r="I424" s="71" t="str">
        <f t="shared" si="27"/>
        <v/>
      </c>
    </row>
    <row r="425" spans="5:9" x14ac:dyDescent="0.4">
      <c r="E425" s="70">
        <v>423</v>
      </c>
      <c r="F425" s="71" t="str">
        <f t="shared" si="24"/>
        <v/>
      </c>
      <c r="G425" s="71" t="str">
        <f t="shared" si="25"/>
        <v/>
      </c>
      <c r="H425" s="71" t="str">
        <f t="shared" si="26"/>
        <v/>
      </c>
      <c r="I425" s="71" t="str">
        <f t="shared" si="27"/>
        <v/>
      </c>
    </row>
    <row r="426" spans="5:9" x14ac:dyDescent="0.4">
      <c r="E426" s="70">
        <v>424</v>
      </c>
      <c r="F426" s="71" t="str">
        <f t="shared" si="24"/>
        <v/>
      </c>
      <c r="G426" s="71" t="str">
        <f t="shared" si="25"/>
        <v/>
      </c>
      <c r="H426" s="71" t="str">
        <f t="shared" si="26"/>
        <v/>
      </c>
      <c r="I426" s="71" t="str">
        <f t="shared" si="27"/>
        <v/>
      </c>
    </row>
    <row r="427" spans="5:9" x14ac:dyDescent="0.4">
      <c r="E427" s="70">
        <v>425</v>
      </c>
      <c r="F427" s="71" t="str">
        <f t="shared" si="24"/>
        <v/>
      </c>
      <c r="G427" s="71" t="str">
        <f t="shared" si="25"/>
        <v/>
      </c>
      <c r="H427" s="71" t="str">
        <f t="shared" si="26"/>
        <v/>
      </c>
      <c r="I427" s="71" t="str">
        <f t="shared" si="27"/>
        <v/>
      </c>
    </row>
    <row r="428" spans="5:9" x14ac:dyDescent="0.4">
      <c r="E428" s="70">
        <v>426</v>
      </c>
      <c r="F428" s="71" t="str">
        <f t="shared" si="24"/>
        <v/>
      </c>
      <c r="G428" s="71" t="str">
        <f t="shared" si="25"/>
        <v/>
      </c>
      <c r="H428" s="71" t="str">
        <f t="shared" si="26"/>
        <v/>
      </c>
      <c r="I428" s="71" t="str">
        <f t="shared" si="27"/>
        <v/>
      </c>
    </row>
    <row r="429" spans="5:9" x14ac:dyDescent="0.4">
      <c r="E429" s="70">
        <v>427</v>
      </c>
      <c r="F429" s="71" t="str">
        <f t="shared" si="24"/>
        <v/>
      </c>
      <c r="G429" s="71" t="str">
        <f t="shared" si="25"/>
        <v/>
      </c>
      <c r="H429" s="71" t="str">
        <f t="shared" si="26"/>
        <v/>
      </c>
      <c r="I429" s="71" t="str">
        <f t="shared" si="27"/>
        <v/>
      </c>
    </row>
    <row r="430" spans="5:9" x14ac:dyDescent="0.4">
      <c r="E430" s="70">
        <v>428</v>
      </c>
      <c r="F430" s="71" t="str">
        <f t="shared" si="24"/>
        <v/>
      </c>
      <c r="G430" s="71" t="str">
        <f t="shared" si="25"/>
        <v/>
      </c>
      <c r="H430" s="71" t="str">
        <f t="shared" si="26"/>
        <v/>
      </c>
      <c r="I430" s="71" t="str">
        <f t="shared" si="27"/>
        <v/>
      </c>
    </row>
    <row r="431" spans="5:9" x14ac:dyDescent="0.4">
      <c r="E431" s="70">
        <v>429</v>
      </c>
      <c r="F431" s="71" t="str">
        <f t="shared" si="24"/>
        <v/>
      </c>
      <c r="G431" s="71" t="str">
        <f t="shared" si="25"/>
        <v/>
      </c>
      <c r="H431" s="71" t="str">
        <f t="shared" si="26"/>
        <v/>
      </c>
      <c r="I431" s="71" t="str">
        <f t="shared" si="27"/>
        <v/>
      </c>
    </row>
    <row r="432" spans="5:9" x14ac:dyDescent="0.4">
      <c r="E432" s="70">
        <v>430</v>
      </c>
      <c r="F432" s="71" t="str">
        <f t="shared" si="24"/>
        <v/>
      </c>
      <c r="G432" s="71" t="str">
        <f t="shared" si="25"/>
        <v/>
      </c>
      <c r="H432" s="71" t="str">
        <f t="shared" si="26"/>
        <v/>
      </c>
      <c r="I432" s="71" t="str">
        <f t="shared" si="27"/>
        <v/>
      </c>
    </row>
    <row r="433" spans="5:9" x14ac:dyDescent="0.4">
      <c r="E433" s="70">
        <v>431</v>
      </c>
      <c r="F433" s="71" t="str">
        <f t="shared" si="24"/>
        <v/>
      </c>
      <c r="G433" s="71" t="str">
        <f t="shared" si="25"/>
        <v/>
      </c>
      <c r="H433" s="71" t="str">
        <f t="shared" si="26"/>
        <v/>
      </c>
      <c r="I433" s="71" t="str">
        <f t="shared" si="27"/>
        <v/>
      </c>
    </row>
    <row r="434" spans="5:9" x14ac:dyDescent="0.4">
      <c r="E434" s="70">
        <v>432</v>
      </c>
      <c r="F434" s="71" t="str">
        <f t="shared" si="24"/>
        <v/>
      </c>
      <c r="G434" s="71" t="str">
        <f t="shared" si="25"/>
        <v/>
      </c>
      <c r="H434" s="71" t="str">
        <f t="shared" si="26"/>
        <v/>
      </c>
      <c r="I434" s="71" t="str">
        <f t="shared" si="27"/>
        <v/>
      </c>
    </row>
    <row r="435" spans="5:9" x14ac:dyDescent="0.4">
      <c r="E435" s="70">
        <v>433</v>
      </c>
      <c r="F435" s="71" t="str">
        <f t="shared" si="24"/>
        <v/>
      </c>
      <c r="G435" s="71" t="str">
        <f t="shared" si="25"/>
        <v/>
      </c>
      <c r="H435" s="71" t="str">
        <f t="shared" si="26"/>
        <v/>
      </c>
      <c r="I435" s="71" t="str">
        <f t="shared" si="27"/>
        <v/>
      </c>
    </row>
    <row r="436" spans="5:9" x14ac:dyDescent="0.4">
      <c r="E436" s="70">
        <v>434</v>
      </c>
      <c r="F436" s="71" t="str">
        <f t="shared" si="24"/>
        <v/>
      </c>
      <c r="G436" s="71" t="str">
        <f t="shared" si="25"/>
        <v/>
      </c>
      <c r="H436" s="71" t="str">
        <f t="shared" si="26"/>
        <v/>
      </c>
      <c r="I436" s="71" t="str">
        <f t="shared" si="27"/>
        <v/>
      </c>
    </row>
    <row r="437" spans="5:9" x14ac:dyDescent="0.4">
      <c r="E437" s="70">
        <v>435</v>
      </c>
      <c r="F437" s="71" t="str">
        <f t="shared" si="24"/>
        <v/>
      </c>
      <c r="G437" s="71" t="str">
        <f t="shared" si="25"/>
        <v/>
      </c>
      <c r="H437" s="71" t="str">
        <f t="shared" si="26"/>
        <v/>
      </c>
      <c r="I437" s="71" t="str">
        <f t="shared" si="27"/>
        <v/>
      </c>
    </row>
    <row r="438" spans="5:9" x14ac:dyDescent="0.4">
      <c r="E438" s="70">
        <v>436</v>
      </c>
      <c r="F438" s="71" t="str">
        <f t="shared" si="24"/>
        <v/>
      </c>
      <c r="G438" s="71" t="str">
        <f t="shared" si="25"/>
        <v/>
      </c>
      <c r="H438" s="71" t="str">
        <f t="shared" si="26"/>
        <v/>
      </c>
      <c r="I438" s="71" t="str">
        <f t="shared" si="27"/>
        <v/>
      </c>
    </row>
    <row r="439" spans="5:9" x14ac:dyDescent="0.4">
      <c r="E439" s="70">
        <v>437</v>
      </c>
      <c r="F439" s="71" t="str">
        <f t="shared" si="24"/>
        <v/>
      </c>
      <c r="G439" s="71" t="str">
        <f t="shared" si="25"/>
        <v/>
      </c>
      <c r="H439" s="71" t="str">
        <f t="shared" si="26"/>
        <v/>
      </c>
      <c r="I439" s="71" t="str">
        <f t="shared" si="27"/>
        <v/>
      </c>
    </row>
    <row r="440" spans="5:9" x14ac:dyDescent="0.4">
      <c r="E440" s="70">
        <v>438</v>
      </c>
      <c r="F440" s="71" t="str">
        <f t="shared" si="24"/>
        <v/>
      </c>
      <c r="G440" s="71" t="str">
        <f t="shared" si="25"/>
        <v/>
      </c>
      <c r="H440" s="71" t="str">
        <f t="shared" si="26"/>
        <v/>
      </c>
      <c r="I440" s="71" t="str">
        <f t="shared" si="27"/>
        <v/>
      </c>
    </row>
    <row r="441" spans="5:9" x14ac:dyDescent="0.4">
      <c r="E441" s="70">
        <v>439</v>
      </c>
      <c r="F441" s="71" t="str">
        <f t="shared" si="24"/>
        <v/>
      </c>
      <c r="G441" s="71" t="str">
        <f t="shared" si="25"/>
        <v/>
      </c>
      <c r="H441" s="71" t="str">
        <f t="shared" si="26"/>
        <v/>
      </c>
      <c r="I441" s="71" t="str">
        <f t="shared" si="27"/>
        <v/>
      </c>
    </row>
    <row r="442" spans="5:9" x14ac:dyDescent="0.4">
      <c r="E442" s="70">
        <v>440</v>
      </c>
      <c r="F442" s="71" t="str">
        <f t="shared" si="24"/>
        <v/>
      </c>
      <c r="G442" s="71" t="str">
        <f t="shared" si="25"/>
        <v/>
      </c>
      <c r="H442" s="71" t="str">
        <f t="shared" si="26"/>
        <v/>
      </c>
      <c r="I442" s="71" t="str">
        <f t="shared" si="27"/>
        <v/>
      </c>
    </row>
    <row r="443" spans="5:9" x14ac:dyDescent="0.4">
      <c r="E443" s="70">
        <v>441</v>
      </c>
      <c r="F443" s="71" t="str">
        <f t="shared" si="24"/>
        <v/>
      </c>
      <c r="G443" s="71" t="str">
        <f t="shared" si="25"/>
        <v/>
      </c>
      <c r="H443" s="71" t="str">
        <f t="shared" si="26"/>
        <v/>
      </c>
      <c r="I443" s="71" t="str">
        <f t="shared" si="27"/>
        <v/>
      </c>
    </row>
    <row r="444" spans="5:9" x14ac:dyDescent="0.4">
      <c r="E444" s="70">
        <v>442</v>
      </c>
      <c r="F444" s="71" t="str">
        <f t="shared" si="24"/>
        <v/>
      </c>
      <c r="G444" s="71" t="str">
        <f t="shared" si="25"/>
        <v/>
      </c>
      <c r="H444" s="71" t="str">
        <f t="shared" si="26"/>
        <v/>
      </c>
      <c r="I444" s="71" t="str">
        <f t="shared" si="27"/>
        <v/>
      </c>
    </row>
    <row r="445" spans="5:9" x14ac:dyDescent="0.4">
      <c r="E445" s="70">
        <v>443</v>
      </c>
      <c r="F445" s="71" t="str">
        <f t="shared" si="24"/>
        <v/>
      </c>
      <c r="G445" s="71" t="str">
        <f t="shared" si="25"/>
        <v/>
      </c>
      <c r="H445" s="71" t="str">
        <f t="shared" si="26"/>
        <v/>
      </c>
      <c r="I445" s="71" t="str">
        <f t="shared" si="27"/>
        <v/>
      </c>
    </row>
    <row r="446" spans="5:9" x14ac:dyDescent="0.4">
      <c r="E446" s="70">
        <v>444</v>
      </c>
      <c r="F446" s="71" t="str">
        <f t="shared" si="24"/>
        <v/>
      </c>
      <c r="G446" s="71" t="str">
        <f t="shared" si="25"/>
        <v/>
      </c>
      <c r="H446" s="71" t="str">
        <f t="shared" si="26"/>
        <v/>
      </c>
      <c r="I446" s="71" t="str">
        <f t="shared" si="27"/>
        <v/>
      </c>
    </row>
    <row r="447" spans="5:9" x14ac:dyDescent="0.4">
      <c r="E447" s="70">
        <v>445</v>
      </c>
      <c r="F447" s="71" t="str">
        <f t="shared" si="24"/>
        <v/>
      </c>
      <c r="G447" s="71" t="str">
        <f t="shared" si="25"/>
        <v/>
      </c>
      <c r="H447" s="71" t="str">
        <f t="shared" si="26"/>
        <v/>
      </c>
      <c r="I447" s="71" t="str">
        <f t="shared" si="27"/>
        <v/>
      </c>
    </row>
    <row r="448" spans="5:9" x14ac:dyDescent="0.4">
      <c r="E448" s="70">
        <v>446</v>
      </c>
      <c r="F448" s="71" t="str">
        <f t="shared" si="24"/>
        <v/>
      </c>
      <c r="G448" s="71" t="str">
        <f t="shared" si="25"/>
        <v/>
      </c>
      <c r="H448" s="71" t="str">
        <f t="shared" si="26"/>
        <v/>
      </c>
      <c r="I448" s="71" t="str">
        <f t="shared" si="27"/>
        <v/>
      </c>
    </row>
    <row r="449" spans="5:9" x14ac:dyDescent="0.4">
      <c r="E449" s="70">
        <v>447</v>
      </c>
      <c r="F449" s="71" t="str">
        <f t="shared" si="24"/>
        <v/>
      </c>
      <c r="G449" s="71" t="str">
        <f t="shared" si="25"/>
        <v/>
      </c>
      <c r="H449" s="71" t="str">
        <f t="shared" si="26"/>
        <v/>
      </c>
      <c r="I449" s="71" t="str">
        <f t="shared" si="27"/>
        <v/>
      </c>
    </row>
    <row r="450" spans="5:9" x14ac:dyDescent="0.4">
      <c r="E450" s="70">
        <v>448</v>
      </c>
      <c r="F450" s="71" t="str">
        <f t="shared" si="24"/>
        <v/>
      </c>
      <c r="G450" s="71" t="str">
        <f t="shared" si="25"/>
        <v/>
      </c>
      <c r="H450" s="71" t="str">
        <f t="shared" si="26"/>
        <v/>
      </c>
      <c r="I450" s="71" t="str">
        <f t="shared" si="27"/>
        <v/>
      </c>
    </row>
    <row r="451" spans="5:9" x14ac:dyDescent="0.4">
      <c r="E451" s="70">
        <v>449</v>
      </c>
      <c r="F451" s="71" t="str">
        <f t="shared" si="24"/>
        <v/>
      </c>
      <c r="G451" s="71" t="str">
        <f t="shared" si="25"/>
        <v/>
      </c>
      <c r="H451" s="71" t="str">
        <f t="shared" si="26"/>
        <v/>
      </c>
      <c r="I451" s="71" t="str">
        <f t="shared" si="27"/>
        <v/>
      </c>
    </row>
    <row r="452" spans="5:9" x14ac:dyDescent="0.4">
      <c r="E452" s="70">
        <v>450</v>
      </c>
      <c r="F452" s="71" t="str">
        <f t="shared" ref="F452:F482" si="28">IF($E452&gt;$B$7*12,"",F451-G451)</f>
        <v/>
      </c>
      <c r="G452" s="71" t="str">
        <f t="shared" ref="G452:G482" si="29">IF($E452&gt;$B$7*12,"",G451)</f>
        <v/>
      </c>
      <c r="H452" s="71" t="str">
        <f t="shared" ref="H452:H482" si="30">IF($E452&gt;$B$7*12,"",ROUND(F452*($B$8/12),0))</f>
        <v/>
      </c>
      <c r="I452" s="71" t="str">
        <f t="shared" ref="I452:I482" si="31">IF($E452&gt;$B$7*12,"",G452+H452)</f>
        <v/>
      </c>
    </row>
    <row r="453" spans="5:9" x14ac:dyDescent="0.4">
      <c r="E453" s="70">
        <v>451</v>
      </c>
      <c r="F453" s="71" t="str">
        <f t="shared" si="28"/>
        <v/>
      </c>
      <c r="G453" s="71" t="str">
        <f t="shared" si="29"/>
        <v/>
      </c>
      <c r="H453" s="71" t="str">
        <f t="shared" si="30"/>
        <v/>
      </c>
      <c r="I453" s="71" t="str">
        <f t="shared" si="31"/>
        <v/>
      </c>
    </row>
    <row r="454" spans="5:9" x14ac:dyDescent="0.4">
      <c r="E454" s="70">
        <v>452</v>
      </c>
      <c r="F454" s="71" t="str">
        <f t="shared" si="28"/>
        <v/>
      </c>
      <c r="G454" s="71" t="str">
        <f t="shared" si="29"/>
        <v/>
      </c>
      <c r="H454" s="71" t="str">
        <f t="shared" si="30"/>
        <v/>
      </c>
      <c r="I454" s="71" t="str">
        <f t="shared" si="31"/>
        <v/>
      </c>
    </row>
    <row r="455" spans="5:9" x14ac:dyDescent="0.4">
      <c r="E455" s="70">
        <v>453</v>
      </c>
      <c r="F455" s="71" t="str">
        <f t="shared" si="28"/>
        <v/>
      </c>
      <c r="G455" s="71" t="str">
        <f t="shared" si="29"/>
        <v/>
      </c>
      <c r="H455" s="71" t="str">
        <f t="shared" si="30"/>
        <v/>
      </c>
      <c r="I455" s="71" t="str">
        <f t="shared" si="31"/>
        <v/>
      </c>
    </row>
    <row r="456" spans="5:9" x14ac:dyDescent="0.4">
      <c r="E456" s="70">
        <v>454</v>
      </c>
      <c r="F456" s="71" t="str">
        <f t="shared" si="28"/>
        <v/>
      </c>
      <c r="G456" s="71" t="str">
        <f t="shared" si="29"/>
        <v/>
      </c>
      <c r="H456" s="71" t="str">
        <f t="shared" si="30"/>
        <v/>
      </c>
      <c r="I456" s="71" t="str">
        <f t="shared" si="31"/>
        <v/>
      </c>
    </row>
    <row r="457" spans="5:9" x14ac:dyDescent="0.4">
      <c r="E457" s="70">
        <v>455</v>
      </c>
      <c r="F457" s="71" t="str">
        <f t="shared" si="28"/>
        <v/>
      </c>
      <c r="G457" s="71" t="str">
        <f t="shared" si="29"/>
        <v/>
      </c>
      <c r="H457" s="71" t="str">
        <f t="shared" si="30"/>
        <v/>
      </c>
      <c r="I457" s="71" t="str">
        <f t="shared" si="31"/>
        <v/>
      </c>
    </row>
    <row r="458" spans="5:9" x14ac:dyDescent="0.4">
      <c r="E458" s="70">
        <v>456</v>
      </c>
      <c r="F458" s="71" t="str">
        <f t="shared" si="28"/>
        <v/>
      </c>
      <c r="G458" s="71" t="str">
        <f t="shared" si="29"/>
        <v/>
      </c>
      <c r="H458" s="71" t="str">
        <f t="shared" si="30"/>
        <v/>
      </c>
      <c r="I458" s="71" t="str">
        <f t="shared" si="31"/>
        <v/>
      </c>
    </row>
    <row r="459" spans="5:9" x14ac:dyDescent="0.4">
      <c r="E459" s="70">
        <v>457</v>
      </c>
      <c r="F459" s="71" t="str">
        <f t="shared" si="28"/>
        <v/>
      </c>
      <c r="G459" s="71" t="str">
        <f t="shared" si="29"/>
        <v/>
      </c>
      <c r="H459" s="71" t="str">
        <f t="shared" si="30"/>
        <v/>
      </c>
      <c r="I459" s="71" t="str">
        <f t="shared" si="31"/>
        <v/>
      </c>
    </row>
    <row r="460" spans="5:9" x14ac:dyDescent="0.4">
      <c r="E460" s="70">
        <v>458</v>
      </c>
      <c r="F460" s="71" t="str">
        <f t="shared" si="28"/>
        <v/>
      </c>
      <c r="G460" s="71" t="str">
        <f t="shared" si="29"/>
        <v/>
      </c>
      <c r="H460" s="71" t="str">
        <f t="shared" si="30"/>
        <v/>
      </c>
      <c r="I460" s="71" t="str">
        <f t="shared" si="31"/>
        <v/>
      </c>
    </row>
    <row r="461" spans="5:9" x14ac:dyDescent="0.4">
      <c r="E461" s="70">
        <v>459</v>
      </c>
      <c r="F461" s="71" t="str">
        <f t="shared" si="28"/>
        <v/>
      </c>
      <c r="G461" s="71" t="str">
        <f t="shared" si="29"/>
        <v/>
      </c>
      <c r="H461" s="71" t="str">
        <f t="shared" si="30"/>
        <v/>
      </c>
      <c r="I461" s="71" t="str">
        <f t="shared" si="31"/>
        <v/>
      </c>
    </row>
    <row r="462" spans="5:9" x14ac:dyDescent="0.4">
      <c r="E462" s="70">
        <v>460</v>
      </c>
      <c r="F462" s="71" t="str">
        <f t="shared" si="28"/>
        <v/>
      </c>
      <c r="G462" s="71" t="str">
        <f t="shared" si="29"/>
        <v/>
      </c>
      <c r="H462" s="71" t="str">
        <f t="shared" si="30"/>
        <v/>
      </c>
      <c r="I462" s="71" t="str">
        <f t="shared" si="31"/>
        <v/>
      </c>
    </row>
    <row r="463" spans="5:9" x14ac:dyDescent="0.4">
      <c r="E463" s="70">
        <v>461</v>
      </c>
      <c r="F463" s="71" t="str">
        <f t="shared" si="28"/>
        <v/>
      </c>
      <c r="G463" s="71" t="str">
        <f t="shared" si="29"/>
        <v/>
      </c>
      <c r="H463" s="71" t="str">
        <f t="shared" si="30"/>
        <v/>
      </c>
      <c r="I463" s="71" t="str">
        <f t="shared" si="31"/>
        <v/>
      </c>
    </row>
    <row r="464" spans="5:9" x14ac:dyDescent="0.4">
      <c r="E464" s="70">
        <v>462</v>
      </c>
      <c r="F464" s="71" t="str">
        <f t="shared" si="28"/>
        <v/>
      </c>
      <c r="G464" s="71" t="str">
        <f t="shared" si="29"/>
        <v/>
      </c>
      <c r="H464" s="71" t="str">
        <f t="shared" si="30"/>
        <v/>
      </c>
      <c r="I464" s="71" t="str">
        <f t="shared" si="31"/>
        <v/>
      </c>
    </row>
    <row r="465" spans="5:9" x14ac:dyDescent="0.4">
      <c r="E465" s="70">
        <v>463</v>
      </c>
      <c r="F465" s="71" t="str">
        <f t="shared" si="28"/>
        <v/>
      </c>
      <c r="G465" s="71" t="str">
        <f t="shared" si="29"/>
        <v/>
      </c>
      <c r="H465" s="71" t="str">
        <f t="shared" si="30"/>
        <v/>
      </c>
      <c r="I465" s="71" t="str">
        <f t="shared" si="31"/>
        <v/>
      </c>
    </row>
    <row r="466" spans="5:9" x14ac:dyDescent="0.4">
      <c r="E466" s="70">
        <v>464</v>
      </c>
      <c r="F466" s="71" t="str">
        <f t="shared" si="28"/>
        <v/>
      </c>
      <c r="G466" s="71" t="str">
        <f t="shared" si="29"/>
        <v/>
      </c>
      <c r="H466" s="71" t="str">
        <f t="shared" si="30"/>
        <v/>
      </c>
      <c r="I466" s="71" t="str">
        <f t="shared" si="31"/>
        <v/>
      </c>
    </row>
    <row r="467" spans="5:9" x14ac:dyDescent="0.4">
      <c r="E467" s="70">
        <v>465</v>
      </c>
      <c r="F467" s="71" t="str">
        <f t="shared" si="28"/>
        <v/>
      </c>
      <c r="G467" s="71" t="str">
        <f t="shared" si="29"/>
        <v/>
      </c>
      <c r="H467" s="71" t="str">
        <f t="shared" si="30"/>
        <v/>
      </c>
      <c r="I467" s="71" t="str">
        <f t="shared" si="31"/>
        <v/>
      </c>
    </row>
    <row r="468" spans="5:9" x14ac:dyDescent="0.4">
      <c r="E468" s="70">
        <v>466</v>
      </c>
      <c r="F468" s="71" t="str">
        <f t="shared" si="28"/>
        <v/>
      </c>
      <c r="G468" s="71" t="str">
        <f t="shared" si="29"/>
        <v/>
      </c>
      <c r="H468" s="71" t="str">
        <f t="shared" si="30"/>
        <v/>
      </c>
      <c r="I468" s="71" t="str">
        <f t="shared" si="31"/>
        <v/>
      </c>
    </row>
    <row r="469" spans="5:9" x14ac:dyDescent="0.4">
      <c r="E469" s="70">
        <v>467</v>
      </c>
      <c r="F469" s="71" t="str">
        <f t="shared" si="28"/>
        <v/>
      </c>
      <c r="G469" s="71" t="str">
        <f t="shared" si="29"/>
        <v/>
      </c>
      <c r="H469" s="71" t="str">
        <f t="shared" si="30"/>
        <v/>
      </c>
      <c r="I469" s="71" t="str">
        <f t="shared" si="31"/>
        <v/>
      </c>
    </row>
    <row r="470" spans="5:9" x14ac:dyDescent="0.4">
      <c r="E470" s="70">
        <v>468</v>
      </c>
      <c r="F470" s="71" t="str">
        <f t="shared" si="28"/>
        <v/>
      </c>
      <c r="G470" s="71" t="str">
        <f t="shared" si="29"/>
        <v/>
      </c>
      <c r="H470" s="71" t="str">
        <f t="shared" si="30"/>
        <v/>
      </c>
      <c r="I470" s="71" t="str">
        <f t="shared" si="31"/>
        <v/>
      </c>
    </row>
    <row r="471" spans="5:9" x14ac:dyDescent="0.4">
      <c r="E471" s="70">
        <v>469</v>
      </c>
      <c r="F471" s="71" t="str">
        <f t="shared" si="28"/>
        <v/>
      </c>
      <c r="G471" s="71" t="str">
        <f t="shared" si="29"/>
        <v/>
      </c>
      <c r="H471" s="71" t="str">
        <f t="shared" si="30"/>
        <v/>
      </c>
      <c r="I471" s="71" t="str">
        <f t="shared" si="31"/>
        <v/>
      </c>
    </row>
    <row r="472" spans="5:9" x14ac:dyDescent="0.4">
      <c r="E472" s="70">
        <v>470</v>
      </c>
      <c r="F472" s="71" t="str">
        <f t="shared" si="28"/>
        <v/>
      </c>
      <c r="G472" s="71" t="str">
        <f t="shared" si="29"/>
        <v/>
      </c>
      <c r="H472" s="71" t="str">
        <f t="shared" si="30"/>
        <v/>
      </c>
      <c r="I472" s="71" t="str">
        <f t="shared" si="31"/>
        <v/>
      </c>
    </row>
    <row r="473" spans="5:9" x14ac:dyDescent="0.4">
      <c r="E473" s="70">
        <v>471</v>
      </c>
      <c r="F473" s="71" t="str">
        <f t="shared" si="28"/>
        <v/>
      </c>
      <c r="G473" s="71" t="str">
        <f t="shared" si="29"/>
        <v/>
      </c>
      <c r="H473" s="71" t="str">
        <f t="shared" si="30"/>
        <v/>
      </c>
      <c r="I473" s="71" t="str">
        <f t="shared" si="31"/>
        <v/>
      </c>
    </row>
    <row r="474" spans="5:9" x14ac:dyDescent="0.4">
      <c r="E474" s="70">
        <v>472</v>
      </c>
      <c r="F474" s="71" t="str">
        <f t="shared" si="28"/>
        <v/>
      </c>
      <c r="G474" s="71" t="str">
        <f t="shared" si="29"/>
        <v/>
      </c>
      <c r="H474" s="71" t="str">
        <f t="shared" si="30"/>
        <v/>
      </c>
      <c r="I474" s="71" t="str">
        <f t="shared" si="31"/>
        <v/>
      </c>
    </row>
    <row r="475" spans="5:9" x14ac:dyDescent="0.4">
      <c r="E475" s="70">
        <v>473</v>
      </c>
      <c r="F475" s="71" t="str">
        <f t="shared" si="28"/>
        <v/>
      </c>
      <c r="G475" s="71" t="str">
        <f t="shared" si="29"/>
        <v/>
      </c>
      <c r="H475" s="71" t="str">
        <f t="shared" si="30"/>
        <v/>
      </c>
      <c r="I475" s="71" t="str">
        <f t="shared" si="31"/>
        <v/>
      </c>
    </row>
    <row r="476" spans="5:9" x14ac:dyDescent="0.4">
      <c r="E476" s="70">
        <v>474</v>
      </c>
      <c r="F476" s="71" t="str">
        <f t="shared" si="28"/>
        <v/>
      </c>
      <c r="G476" s="71" t="str">
        <f t="shared" si="29"/>
        <v/>
      </c>
      <c r="H476" s="71" t="str">
        <f t="shared" si="30"/>
        <v/>
      </c>
      <c r="I476" s="71" t="str">
        <f t="shared" si="31"/>
        <v/>
      </c>
    </row>
    <row r="477" spans="5:9" x14ac:dyDescent="0.4">
      <c r="E477" s="70">
        <v>475</v>
      </c>
      <c r="F477" s="71" t="str">
        <f t="shared" si="28"/>
        <v/>
      </c>
      <c r="G477" s="71" t="str">
        <f t="shared" si="29"/>
        <v/>
      </c>
      <c r="H477" s="71" t="str">
        <f t="shared" si="30"/>
        <v/>
      </c>
      <c r="I477" s="71" t="str">
        <f t="shared" si="31"/>
        <v/>
      </c>
    </row>
    <row r="478" spans="5:9" x14ac:dyDescent="0.4">
      <c r="E478" s="70">
        <v>476</v>
      </c>
      <c r="F478" s="71" t="str">
        <f t="shared" si="28"/>
        <v/>
      </c>
      <c r="G478" s="71" t="str">
        <f t="shared" si="29"/>
        <v/>
      </c>
      <c r="H478" s="71" t="str">
        <f t="shared" si="30"/>
        <v/>
      </c>
      <c r="I478" s="71" t="str">
        <f t="shared" si="31"/>
        <v/>
      </c>
    </row>
    <row r="479" spans="5:9" x14ac:dyDescent="0.4">
      <c r="E479" s="70">
        <v>477</v>
      </c>
      <c r="F479" s="71" t="str">
        <f t="shared" si="28"/>
        <v/>
      </c>
      <c r="G479" s="71" t="str">
        <f t="shared" si="29"/>
        <v/>
      </c>
      <c r="H479" s="71" t="str">
        <f t="shared" si="30"/>
        <v/>
      </c>
      <c r="I479" s="71" t="str">
        <f t="shared" si="31"/>
        <v/>
      </c>
    </row>
    <row r="480" spans="5:9" x14ac:dyDescent="0.4">
      <c r="E480" s="70">
        <v>478</v>
      </c>
      <c r="F480" s="71" t="str">
        <f t="shared" si="28"/>
        <v/>
      </c>
      <c r="G480" s="71" t="str">
        <f t="shared" si="29"/>
        <v/>
      </c>
      <c r="H480" s="71" t="str">
        <f t="shared" si="30"/>
        <v/>
      </c>
      <c r="I480" s="71" t="str">
        <f t="shared" si="31"/>
        <v/>
      </c>
    </row>
    <row r="481" spans="5:9" x14ac:dyDescent="0.4">
      <c r="E481" s="70">
        <v>479</v>
      </c>
      <c r="F481" s="71" t="str">
        <f t="shared" si="28"/>
        <v/>
      </c>
      <c r="G481" s="71" t="str">
        <f t="shared" si="29"/>
        <v/>
      </c>
      <c r="H481" s="71" t="str">
        <f t="shared" si="30"/>
        <v/>
      </c>
      <c r="I481" s="71" t="str">
        <f t="shared" si="31"/>
        <v/>
      </c>
    </row>
    <row r="482" spans="5:9" x14ac:dyDescent="0.4">
      <c r="E482" s="70">
        <v>480</v>
      </c>
      <c r="F482" s="71" t="str">
        <f t="shared" si="28"/>
        <v/>
      </c>
      <c r="G482" s="71" t="str">
        <f t="shared" si="29"/>
        <v/>
      </c>
      <c r="H482" s="71" t="str">
        <f t="shared" si="30"/>
        <v/>
      </c>
      <c r="I482" s="71" t="str">
        <f t="shared" si="31"/>
        <v/>
      </c>
    </row>
  </sheetData>
  <sheetProtection algorithmName="SHA-512" hashValue="na2vvL613jnSd37E7nOl1ErW9xxW0D+YeVHC9rWahIVHhkAPgoKtRu9ruW+ppGJYlyphne4rA0n6+TXdsWsCOg==" saltValue="D0nwjsiR3OwBSh3HBJBlSA==" spinCount="100000" sheet="1" objects="1" scenarios="1" formatColumns="0" formatRows="0"/>
  <mergeCells count="5">
    <mergeCell ref="A1:A2"/>
    <mergeCell ref="B1:B2"/>
    <mergeCell ref="C1:C2"/>
    <mergeCell ref="D1:D2"/>
    <mergeCell ref="A18:C30"/>
  </mergeCells>
  <phoneticPr fontId="2" type="noConversion"/>
  <hyperlinks>
    <hyperlink ref="C9" r:id="rId1" xr:uid="{3AFC3056-F214-4284-A1B8-B42BC4A0D57A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0E988-F524-4A37-A274-10B63ED5E380}">
  <sheetPr codeName="工作表4"/>
  <dimension ref="A1:P41"/>
  <sheetViews>
    <sheetView zoomScale="85" zoomScaleNormal="85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I15" sqref="I15"/>
    </sheetView>
  </sheetViews>
  <sheetFormatPr defaultRowHeight="17" x14ac:dyDescent="0.4"/>
  <cols>
    <col min="1" max="1" width="5.6328125" style="32" bestFit="1" customWidth="1"/>
    <col min="2" max="2" width="16.26953125" style="32" bestFit="1" customWidth="1"/>
    <col min="3" max="3" width="9.26953125" style="67" bestFit="1" customWidth="1"/>
    <col min="4" max="4" width="42.90625" style="82" customWidth="1"/>
    <col min="5" max="5" width="1.08984375" style="69" customWidth="1"/>
    <col min="6" max="6" width="5.6328125" style="31" bestFit="1" customWidth="1"/>
    <col min="7" max="7" width="7.26953125" style="84" bestFit="1" customWidth="1"/>
    <col min="8" max="8" width="9.81640625" style="84" bestFit="1" customWidth="1"/>
    <col min="9" max="9" width="10.90625" style="84" bestFit="1" customWidth="1"/>
    <col min="10" max="10" width="1.08984375" style="69" customWidth="1"/>
    <col min="11" max="11" width="7.90625" style="52" bestFit="1" customWidth="1"/>
    <col min="12" max="12" width="7.26953125" style="88" bestFit="1" customWidth="1"/>
    <col min="13" max="13" width="8.1796875" style="52" bestFit="1" customWidth="1"/>
    <col min="14" max="15" width="8.1796875" style="52" customWidth="1"/>
    <col min="16" max="16" width="8.7265625" style="38"/>
    <col min="17" max="16384" width="8.7265625" style="1"/>
  </cols>
  <sheetData>
    <row r="1" spans="1:16" s="4" customFormat="1" ht="34" x14ac:dyDescent="0.4">
      <c r="A1" s="34" t="s">
        <v>36</v>
      </c>
      <c r="B1" s="34" t="s">
        <v>77</v>
      </c>
      <c r="C1" s="66" t="s">
        <v>188</v>
      </c>
      <c r="D1" s="77" t="s">
        <v>160</v>
      </c>
      <c r="E1" s="221"/>
      <c r="F1" s="34" t="s">
        <v>189</v>
      </c>
      <c r="G1" s="78" t="s">
        <v>190</v>
      </c>
      <c r="H1" s="78" t="s">
        <v>191</v>
      </c>
      <c r="I1" s="78" t="s">
        <v>192</v>
      </c>
      <c r="J1" s="221"/>
      <c r="K1" s="79" t="s">
        <v>193</v>
      </c>
      <c r="L1" s="62" t="s">
        <v>194</v>
      </c>
      <c r="M1" s="79" t="s">
        <v>195</v>
      </c>
      <c r="N1" s="79" t="s">
        <v>196</v>
      </c>
      <c r="O1" s="79" t="s">
        <v>197</v>
      </c>
      <c r="P1" s="80" t="s">
        <v>198</v>
      </c>
    </row>
    <row r="2" spans="1:16" x14ac:dyDescent="0.4">
      <c r="A2" s="231" t="s">
        <v>199</v>
      </c>
      <c r="B2" s="32" t="s">
        <v>200</v>
      </c>
      <c r="C2" s="91">
        <v>0.02</v>
      </c>
      <c r="D2" s="82" t="s">
        <v>201</v>
      </c>
      <c r="E2" s="221"/>
      <c r="F2" s="31">
        <v>1</v>
      </c>
      <c r="G2" s="83">
        <f>C5</f>
        <v>36</v>
      </c>
      <c r="H2" s="83">
        <f>C7</f>
        <v>600</v>
      </c>
      <c r="I2" s="83">
        <f>H2*(1+$C$9)</f>
        <v>684.00000000000011</v>
      </c>
      <c r="J2" s="221"/>
      <c r="K2" s="93">
        <v>56</v>
      </c>
      <c r="L2" s="90">
        <v>2000</v>
      </c>
      <c r="M2" s="50">
        <f>L2/K2</f>
        <v>35.714285714285715</v>
      </c>
      <c r="N2" s="50">
        <f>M2/12</f>
        <v>2.9761904761904763</v>
      </c>
      <c r="O2" s="50">
        <f>'1.5.3買房'!$B$9*L2/'1.5.3買房'!$B$3</f>
        <v>6.2222222222222223</v>
      </c>
      <c r="P2" s="76">
        <f>N2/O2</f>
        <v>0.47831632653061223</v>
      </c>
    </row>
    <row r="3" spans="1:16" x14ac:dyDescent="0.4">
      <c r="A3" s="232"/>
      <c r="B3" s="32" t="s">
        <v>189</v>
      </c>
      <c r="C3" s="71">
        <f>'1.5.3買房'!B7</f>
        <v>30</v>
      </c>
      <c r="D3" s="82" t="s">
        <v>202</v>
      </c>
      <c r="F3" s="86">
        <f>F2+1</f>
        <v>2</v>
      </c>
      <c r="G3" s="50">
        <f t="shared" ref="G3:G31" si="0">IF($F3&gt;$C$3,"",G2*(1+$C$2))</f>
        <v>36.72</v>
      </c>
      <c r="H3" s="50">
        <f t="shared" ref="H3:H41" si="1">IF($F3&gt;$C$3,"",I2+$C$8*12)</f>
        <v>696.02386273157617</v>
      </c>
      <c r="I3" s="50">
        <f t="shared" ref="I3:I41" si="2">IF($F3&gt;$C$3,"",H3*(1+$C$9))</f>
        <v>793.46720351399688</v>
      </c>
      <c r="K3" s="50">
        <f>L3/M3</f>
        <v>22.222222222222221</v>
      </c>
      <c r="L3" s="90">
        <v>400</v>
      </c>
      <c r="M3" s="50">
        <f>N3*12</f>
        <v>18</v>
      </c>
      <c r="N3" s="93">
        <v>1.5</v>
      </c>
      <c r="O3" s="50">
        <f>'1.5.3買房'!$B$9*L3/'1.5.3買房'!$B$3</f>
        <v>1.2444444444444445</v>
      </c>
      <c r="P3" s="76">
        <f>N3/O3</f>
        <v>1.2053571428571428</v>
      </c>
    </row>
    <row r="4" spans="1:16" x14ac:dyDescent="0.4">
      <c r="A4" s="81" t="s">
        <v>203</v>
      </c>
      <c r="B4" s="32" t="s">
        <v>204</v>
      </c>
      <c r="C4" s="93">
        <v>3</v>
      </c>
      <c r="D4" s="82" t="s">
        <v>205</v>
      </c>
      <c r="F4" s="86">
        <f t="shared" ref="F4:F41" si="3">F3+1</f>
        <v>3</v>
      </c>
      <c r="G4" s="50">
        <f t="shared" si="0"/>
        <v>37.4544</v>
      </c>
      <c r="H4" s="50">
        <f t="shared" si="1"/>
        <v>805.49106624557294</v>
      </c>
      <c r="I4" s="50">
        <f t="shared" si="2"/>
        <v>918.25981551995324</v>
      </c>
      <c r="K4" s="50">
        <f>L4/M4</f>
        <v>8.3333333333333339</v>
      </c>
      <c r="L4" s="90">
        <v>400</v>
      </c>
      <c r="M4" s="93">
        <v>48</v>
      </c>
      <c r="N4" s="50">
        <f>M4/12</f>
        <v>4</v>
      </c>
      <c r="O4" s="50">
        <f>'1.5.3買房'!$B$9*L4/'1.5.3買房'!$B$3</f>
        <v>1.2444444444444445</v>
      </c>
      <c r="P4" s="76">
        <f>N4/O4</f>
        <v>3.2142857142857144</v>
      </c>
    </row>
    <row r="5" spans="1:16" x14ac:dyDescent="0.4">
      <c r="A5" s="87"/>
      <c r="B5" s="32" t="s">
        <v>206</v>
      </c>
      <c r="C5" s="50">
        <f>C4*12</f>
        <v>36</v>
      </c>
      <c r="D5" s="82" t="s">
        <v>207</v>
      </c>
      <c r="F5" s="86">
        <f t="shared" si="3"/>
        <v>4</v>
      </c>
      <c r="G5" s="50">
        <f t="shared" si="0"/>
        <v>38.203488</v>
      </c>
      <c r="H5" s="50">
        <f t="shared" si="1"/>
        <v>930.2836782515293</v>
      </c>
      <c r="I5" s="50">
        <f t="shared" si="2"/>
        <v>1060.5233932067435</v>
      </c>
      <c r="K5" s="93">
        <v>55</v>
      </c>
      <c r="L5" s="71">
        <f>K5*M5</f>
        <v>1980</v>
      </c>
      <c r="M5" s="50">
        <f>N5*12</f>
        <v>36</v>
      </c>
      <c r="N5" s="93">
        <v>3</v>
      </c>
      <c r="O5" s="50">
        <f>'1.5.3買房'!$B$9*L5/'1.5.3買房'!$B$3</f>
        <v>6.16</v>
      </c>
      <c r="P5" s="76">
        <f>N5/O5</f>
        <v>0.48701298701298701</v>
      </c>
    </row>
    <row r="6" spans="1:16" x14ac:dyDescent="0.4">
      <c r="A6" s="85"/>
      <c r="B6" s="32" t="s">
        <v>208</v>
      </c>
      <c r="C6" s="50">
        <f>SUM(G:G)</f>
        <v>1460.4508513860369</v>
      </c>
      <c r="D6" s="82" t="s">
        <v>209</v>
      </c>
      <c r="F6" s="86">
        <f t="shared" si="3"/>
        <v>5</v>
      </c>
      <c r="G6" s="50">
        <f t="shared" si="0"/>
        <v>38.967557759999998</v>
      </c>
      <c r="H6" s="50">
        <f t="shared" si="1"/>
        <v>1072.5472559383195</v>
      </c>
      <c r="I6" s="50">
        <f t="shared" si="2"/>
        <v>1222.7038717696844</v>
      </c>
      <c r="N6"/>
      <c r="O6"/>
    </row>
    <row r="7" spans="1:16" x14ac:dyDescent="0.4">
      <c r="A7" s="231" t="s">
        <v>210</v>
      </c>
      <c r="B7" s="32" t="s">
        <v>211</v>
      </c>
      <c r="C7" s="71">
        <f>'1.5.3買房'!B6</f>
        <v>600</v>
      </c>
      <c r="D7" s="89" t="s">
        <v>212</v>
      </c>
      <c r="F7" s="86">
        <f t="shared" si="3"/>
        <v>6</v>
      </c>
      <c r="G7" s="50">
        <f t="shared" si="0"/>
        <v>39.746908915200002</v>
      </c>
      <c r="H7" s="50">
        <f t="shared" si="1"/>
        <v>1234.7277345012603</v>
      </c>
      <c r="I7" s="50">
        <f t="shared" si="2"/>
        <v>1407.589617331437</v>
      </c>
    </row>
    <row r="8" spans="1:16" x14ac:dyDescent="0.4">
      <c r="A8" s="233"/>
      <c r="B8" s="32" t="s">
        <v>213</v>
      </c>
      <c r="C8" s="50">
        <f>('1.5.3買房'!B13-'1.5.3租房投資'!C7-C6)/('1.5.3租房投資'!C3*12)</f>
        <v>1.0019885609646673</v>
      </c>
      <c r="D8" s="82" t="s">
        <v>214</v>
      </c>
      <c r="E8" s="74"/>
      <c r="F8" s="86">
        <f t="shared" si="3"/>
        <v>7</v>
      </c>
      <c r="G8" s="50">
        <f t="shared" si="0"/>
        <v>40.541847093504003</v>
      </c>
      <c r="H8" s="50">
        <f t="shared" si="1"/>
        <v>1419.613480063013</v>
      </c>
      <c r="I8" s="50">
        <f t="shared" si="2"/>
        <v>1618.359367271835</v>
      </c>
      <c r="J8" s="74"/>
    </row>
    <row r="9" spans="1:16" s="38" customFormat="1" x14ac:dyDescent="0.4">
      <c r="A9" s="233"/>
      <c r="B9" s="72" t="s">
        <v>215</v>
      </c>
      <c r="C9" s="91">
        <v>0.14000000000000001</v>
      </c>
      <c r="D9" s="82" t="s">
        <v>216</v>
      </c>
      <c r="E9" s="69"/>
      <c r="F9" s="86">
        <f t="shared" si="3"/>
        <v>8</v>
      </c>
      <c r="G9" s="50">
        <f t="shared" si="0"/>
        <v>41.352684035374082</v>
      </c>
      <c r="H9" s="50">
        <f t="shared" si="1"/>
        <v>1630.383230003411</v>
      </c>
      <c r="I9" s="50">
        <f t="shared" si="2"/>
        <v>1858.6368822038887</v>
      </c>
      <c r="J9" s="69"/>
      <c r="K9" s="52"/>
      <c r="L9" s="88"/>
      <c r="M9" s="52"/>
      <c r="N9" s="52"/>
      <c r="O9" s="52"/>
    </row>
    <row r="10" spans="1:16" x14ac:dyDescent="0.4">
      <c r="A10" s="233"/>
      <c r="B10" s="32" t="s">
        <v>217</v>
      </c>
      <c r="C10" s="71">
        <f>C7+C8*12*C3</f>
        <v>960.7158819472802</v>
      </c>
      <c r="F10" s="86">
        <f t="shared" si="3"/>
        <v>9</v>
      </c>
      <c r="G10" s="50">
        <f t="shared" si="0"/>
        <v>42.179737716081561</v>
      </c>
      <c r="H10" s="50">
        <f t="shared" si="1"/>
        <v>1870.6607449354647</v>
      </c>
      <c r="I10" s="50">
        <f t="shared" si="2"/>
        <v>2132.5532492264301</v>
      </c>
    </row>
    <row r="11" spans="1:16" x14ac:dyDescent="0.4">
      <c r="A11" s="232"/>
      <c r="B11" s="32" t="s">
        <v>218</v>
      </c>
      <c r="C11" s="71">
        <f>MAX(I:I)</f>
        <v>34848.027360301028</v>
      </c>
      <c r="F11" s="86">
        <f t="shared" si="3"/>
        <v>10</v>
      </c>
      <c r="G11" s="50">
        <f t="shared" si="0"/>
        <v>43.02333247040319</v>
      </c>
      <c r="H11" s="50">
        <f t="shared" si="1"/>
        <v>2144.5771119580063</v>
      </c>
      <c r="I11" s="50">
        <f t="shared" si="2"/>
        <v>2444.8179076321276</v>
      </c>
    </row>
    <row r="12" spans="1:16" x14ac:dyDescent="0.4">
      <c r="A12" s="231" t="s">
        <v>219</v>
      </c>
      <c r="B12" s="32" t="s">
        <v>220</v>
      </c>
      <c r="C12" s="71">
        <f>C6+C10</f>
        <v>2421.1667333333171</v>
      </c>
      <c r="D12" s="82" t="s">
        <v>221</v>
      </c>
      <c r="F12" s="86">
        <f t="shared" si="3"/>
        <v>11</v>
      </c>
      <c r="G12" s="50">
        <f t="shared" si="0"/>
        <v>43.883799119811258</v>
      </c>
      <c r="H12" s="50">
        <f t="shared" si="1"/>
        <v>2456.8417703637037</v>
      </c>
      <c r="I12" s="50">
        <f t="shared" si="2"/>
        <v>2800.7996182146226</v>
      </c>
    </row>
    <row r="13" spans="1:16" x14ac:dyDescent="0.4">
      <c r="A13" s="233"/>
      <c r="B13" s="32" t="s">
        <v>222</v>
      </c>
      <c r="C13" s="71">
        <f>C11-C6</f>
        <v>33387.576508914994</v>
      </c>
      <c r="F13" s="86">
        <f t="shared" si="3"/>
        <v>12</v>
      </c>
      <c r="G13" s="50">
        <f t="shared" si="0"/>
        <v>44.761475102207484</v>
      </c>
      <c r="H13" s="50">
        <f t="shared" si="1"/>
        <v>2812.8234809461987</v>
      </c>
      <c r="I13" s="50">
        <f t="shared" si="2"/>
        <v>3206.6187682786667</v>
      </c>
    </row>
    <row r="14" spans="1:16" x14ac:dyDescent="0.4">
      <c r="A14" s="232"/>
      <c r="B14" s="32" t="s">
        <v>186</v>
      </c>
      <c r="C14" s="76">
        <f>(C13/C12)^(1/C3)-1</f>
        <v>9.1403494365701166E-2</v>
      </c>
      <c r="F14" s="86">
        <f t="shared" si="3"/>
        <v>13</v>
      </c>
      <c r="G14" s="50">
        <f t="shared" si="0"/>
        <v>45.656704604251637</v>
      </c>
      <c r="H14" s="50">
        <f t="shared" si="1"/>
        <v>3218.6426310102429</v>
      </c>
      <c r="I14" s="50">
        <f t="shared" si="2"/>
        <v>3669.2525993516774</v>
      </c>
    </row>
    <row r="15" spans="1:16" x14ac:dyDescent="0.4">
      <c r="F15" s="86">
        <f t="shared" si="3"/>
        <v>14</v>
      </c>
      <c r="G15" s="50">
        <f t="shared" si="0"/>
        <v>46.569838696336667</v>
      </c>
      <c r="H15" s="50">
        <f t="shared" si="1"/>
        <v>3681.2764620832536</v>
      </c>
      <c r="I15" s="50">
        <f t="shared" si="2"/>
        <v>4196.65516677491</v>
      </c>
    </row>
    <row r="16" spans="1:16" x14ac:dyDescent="0.4">
      <c r="A16" s="222" t="s">
        <v>223</v>
      </c>
      <c r="B16" s="223"/>
      <c r="C16" s="223"/>
      <c r="D16" s="224"/>
      <c r="F16" s="86">
        <f t="shared" si="3"/>
        <v>15</v>
      </c>
      <c r="G16" s="50">
        <f t="shared" si="0"/>
        <v>47.501235470263403</v>
      </c>
      <c r="H16" s="50">
        <f t="shared" si="1"/>
        <v>4208.6790295064857</v>
      </c>
      <c r="I16" s="50">
        <f t="shared" si="2"/>
        <v>4797.8940936373938</v>
      </c>
    </row>
    <row r="17" spans="1:9" x14ac:dyDescent="0.4">
      <c r="A17" s="225"/>
      <c r="B17" s="226"/>
      <c r="C17" s="226"/>
      <c r="D17" s="227"/>
      <c r="F17" s="86">
        <f t="shared" si="3"/>
        <v>16</v>
      </c>
      <c r="G17" s="50">
        <f t="shared" si="0"/>
        <v>48.451260179668672</v>
      </c>
      <c r="H17" s="50">
        <f t="shared" si="1"/>
        <v>4809.9179563689695</v>
      </c>
      <c r="I17" s="50">
        <f t="shared" si="2"/>
        <v>5483.3064702606262</v>
      </c>
    </row>
    <row r="18" spans="1:9" x14ac:dyDescent="0.4">
      <c r="A18" s="225"/>
      <c r="B18" s="226"/>
      <c r="C18" s="226"/>
      <c r="D18" s="227"/>
      <c r="F18" s="86">
        <f t="shared" si="3"/>
        <v>17</v>
      </c>
      <c r="G18" s="50">
        <f t="shared" si="0"/>
        <v>49.420285383262048</v>
      </c>
      <c r="H18" s="50">
        <f t="shared" si="1"/>
        <v>5495.3303329922019</v>
      </c>
      <c r="I18" s="50">
        <f t="shared" si="2"/>
        <v>6264.6765796111113</v>
      </c>
    </row>
    <row r="19" spans="1:9" x14ac:dyDescent="0.4">
      <c r="A19" s="225"/>
      <c r="B19" s="226"/>
      <c r="C19" s="226"/>
      <c r="D19" s="227"/>
      <c r="F19" s="86">
        <f t="shared" si="3"/>
        <v>18</v>
      </c>
      <c r="G19" s="50">
        <f t="shared" si="0"/>
        <v>50.408691090927292</v>
      </c>
      <c r="H19" s="50">
        <f t="shared" si="1"/>
        <v>6276.700442342687</v>
      </c>
      <c r="I19" s="50">
        <f t="shared" si="2"/>
        <v>7155.4385042706635</v>
      </c>
    </row>
    <row r="20" spans="1:9" x14ac:dyDescent="0.4">
      <c r="A20" s="225"/>
      <c r="B20" s="226"/>
      <c r="C20" s="226"/>
      <c r="D20" s="227"/>
      <c r="F20" s="86">
        <f t="shared" si="3"/>
        <v>19</v>
      </c>
      <c r="G20" s="50">
        <f t="shared" si="0"/>
        <v>51.416864912745837</v>
      </c>
      <c r="H20" s="50">
        <f t="shared" si="1"/>
        <v>7167.4623670022393</v>
      </c>
      <c r="I20" s="50">
        <f t="shared" si="2"/>
        <v>8170.9070983825541</v>
      </c>
    </row>
    <row r="21" spans="1:9" x14ac:dyDescent="0.4">
      <c r="A21" s="228"/>
      <c r="B21" s="229"/>
      <c r="C21" s="229"/>
      <c r="D21" s="230"/>
      <c r="F21" s="86">
        <f t="shared" si="3"/>
        <v>20</v>
      </c>
      <c r="G21" s="50">
        <f t="shared" si="0"/>
        <v>52.445202211000755</v>
      </c>
      <c r="H21" s="50">
        <f t="shared" si="1"/>
        <v>8182.9309611141298</v>
      </c>
      <c r="I21" s="50">
        <f t="shared" si="2"/>
        <v>9328.5412956701093</v>
      </c>
    </row>
    <row r="22" spans="1:9" x14ac:dyDescent="0.4">
      <c r="F22" s="86">
        <f t="shared" si="3"/>
        <v>21</v>
      </c>
      <c r="G22" s="50">
        <f t="shared" si="0"/>
        <v>53.494106255220771</v>
      </c>
      <c r="H22" s="50">
        <f t="shared" si="1"/>
        <v>9340.565158401685</v>
      </c>
      <c r="I22" s="50">
        <f t="shared" si="2"/>
        <v>10648.244280577923</v>
      </c>
    </row>
    <row r="23" spans="1:9" x14ac:dyDescent="0.4">
      <c r="F23" s="86">
        <f t="shared" si="3"/>
        <v>22</v>
      </c>
      <c r="G23" s="50">
        <f t="shared" si="0"/>
        <v>54.563988380325185</v>
      </c>
      <c r="H23" s="50">
        <f t="shared" si="1"/>
        <v>10660.268143309499</v>
      </c>
      <c r="I23" s="50">
        <f t="shared" si="2"/>
        <v>12152.705683372829</v>
      </c>
    </row>
    <row r="24" spans="1:9" x14ac:dyDescent="0.4">
      <c r="F24" s="86">
        <f t="shared" si="3"/>
        <v>23</v>
      </c>
      <c r="G24" s="50">
        <f t="shared" si="0"/>
        <v>55.655268147931686</v>
      </c>
      <c r="H24" s="50">
        <f t="shared" si="1"/>
        <v>12164.729546104405</v>
      </c>
      <c r="I24" s="50">
        <f t="shared" si="2"/>
        <v>13867.791682559024</v>
      </c>
    </row>
    <row r="25" spans="1:9" x14ac:dyDescent="0.4">
      <c r="F25" s="86">
        <f t="shared" si="3"/>
        <v>24</v>
      </c>
      <c r="G25" s="50">
        <f t="shared" si="0"/>
        <v>56.768373510890321</v>
      </c>
      <c r="H25" s="50">
        <f t="shared" si="1"/>
        <v>13879.815545290599</v>
      </c>
      <c r="I25" s="50">
        <f t="shared" si="2"/>
        <v>15822.989721631286</v>
      </c>
    </row>
    <row r="26" spans="1:9" x14ac:dyDescent="0.4">
      <c r="F26" s="86">
        <f t="shared" si="3"/>
        <v>25</v>
      </c>
      <c r="G26" s="50">
        <f t="shared" si="0"/>
        <v>57.903740981108129</v>
      </c>
      <c r="H26" s="50">
        <f t="shared" si="1"/>
        <v>15835.013584362861</v>
      </c>
      <c r="I26" s="50">
        <f t="shared" si="2"/>
        <v>18051.915486173664</v>
      </c>
    </row>
    <row r="27" spans="1:9" x14ac:dyDescent="0.4">
      <c r="F27" s="86">
        <f t="shared" si="3"/>
        <v>26</v>
      </c>
      <c r="G27" s="50">
        <f t="shared" si="0"/>
        <v>59.061815800730294</v>
      </c>
      <c r="H27" s="50">
        <f t="shared" si="1"/>
        <v>18063.939348905242</v>
      </c>
      <c r="I27" s="50">
        <f t="shared" si="2"/>
        <v>20592.89085775198</v>
      </c>
    </row>
    <row r="28" spans="1:9" x14ac:dyDescent="0.4">
      <c r="F28" s="86">
        <f t="shared" si="3"/>
        <v>27</v>
      </c>
      <c r="G28" s="50">
        <f t="shared" si="0"/>
        <v>60.243052116744899</v>
      </c>
      <c r="H28" s="50">
        <f t="shared" si="1"/>
        <v>20604.914720483557</v>
      </c>
      <c r="I28" s="50">
        <f t="shared" si="2"/>
        <v>23489.602781351259</v>
      </c>
    </row>
    <row r="29" spans="1:9" x14ac:dyDescent="0.4">
      <c r="F29" s="86">
        <f t="shared" si="3"/>
        <v>28</v>
      </c>
      <c r="G29" s="50">
        <f t="shared" si="0"/>
        <v>61.447913159079796</v>
      </c>
      <c r="H29" s="50">
        <f t="shared" si="1"/>
        <v>23501.626644082837</v>
      </c>
      <c r="I29" s="50">
        <f t="shared" si="2"/>
        <v>26791.854374254435</v>
      </c>
    </row>
    <row r="30" spans="1:9" x14ac:dyDescent="0.4">
      <c r="F30" s="86">
        <f t="shared" si="3"/>
        <v>29</v>
      </c>
      <c r="G30" s="50">
        <f t="shared" si="0"/>
        <v>62.676871422261392</v>
      </c>
      <c r="H30" s="50">
        <f t="shared" si="1"/>
        <v>26803.878236986013</v>
      </c>
      <c r="I30" s="50">
        <f t="shared" si="2"/>
        <v>30556.421190164059</v>
      </c>
    </row>
    <row r="31" spans="1:9" x14ac:dyDescent="0.4">
      <c r="F31" s="86">
        <f t="shared" si="3"/>
        <v>30</v>
      </c>
      <c r="G31" s="50">
        <f t="shared" si="0"/>
        <v>63.93040885070662</v>
      </c>
      <c r="H31" s="50">
        <f t="shared" si="1"/>
        <v>30568.445052895637</v>
      </c>
      <c r="I31" s="50">
        <f t="shared" si="2"/>
        <v>34848.027360301028</v>
      </c>
    </row>
    <row r="32" spans="1:9" x14ac:dyDescent="0.4">
      <c r="F32" s="86">
        <f t="shared" si="3"/>
        <v>31</v>
      </c>
      <c r="G32" s="50" t="str">
        <f>IF($F32&gt;$C$3,"",G31*(1+$C$2))</f>
        <v/>
      </c>
      <c r="H32" s="50" t="str">
        <f t="shared" si="1"/>
        <v/>
      </c>
      <c r="I32" s="50" t="str">
        <f t="shared" si="2"/>
        <v/>
      </c>
    </row>
    <row r="33" spans="6:9" x14ac:dyDescent="0.4">
      <c r="F33" s="86">
        <f t="shared" si="3"/>
        <v>32</v>
      </c>
      <c r="G33" s="50" t="str">
        <f t="shared" ref="G33:G41" si="4">IF($F33&gt;$C$3,"",G32*(1+$C$2))</f>
        <v/>
      </c>
      <c r="H33" s="50" t="str">
        <f t="shared" si="1"/>
        <v/>
      </c>
      <c r="I33" s="50" t="str">
        <f t="shared" si="2"/>
        <v/>
      </c>
    </row>
    <row r="34" spans="6:9" x14ac:dyDescent="0.4">
      <c r="F34" s="86">
        <f t="shared" si="3"/>
        <v>33</v>
      </c>
      <c r="G34" s="50" t="str">
        <f t="shared" si="4"/>
        <v/>
      </c>
      <c r="H34" s="50" t="str">
        <f t="shared" si="1"/>
        <v/>
      </c>
      <c r="I34" s="50" t="str">
        <f t="shared" si="2"/>
        <v/>
      </c>
    </row>
    <row r="35" spans="6:9" x14ac:dyDescent="0.4">
      <c r="F35" s="86">
        <f t="shared" si="3"/>
        <v>34</v>
      </c>
      <c r="G35" s="50" t="str">
        <f t="shared" si="4"/>
        <v/>
      </c>
      <c r="H35" s="50" t="str">
        <f t="shared" si="1"/>
        <v/>
      </c>
      <c r="I35" s="50" t="str">
        <f t="shared" si="2"/>
        <v/>
      </c>
    </row>
    <row r="36" spans="6:9" x14ac:dyDescent="0.4">
      <c r="F36" s="86">
        <f t="shared" si="3"/>
        <v>35</v>
      </c>
      <c r="G36" s="50" t="str">
        <f t="shared" si="4"/>
        <v/>
      </c>
      <c r="H36" s="50" t="str">
        <f t="shared" si="1"/>
        <v/>
      </c>
      <c r="I36" s="50" t="str">
        <f t="shared" si="2"/>
        <v/>
      </c>
    </row>
    <row r="37" spans="6:9" x14ac:dyDescent="0.4">
      <c r="F37" s="86">
        <f t="shared" si="3"/>
        <v>36</v>
      </c>
      <c r="G37" s="50" t="str">
        <f t="shared" si="4"/>
        <v/>
      </c>
      <c r="H37" s="50" t="str">
        <f t="shared" si="1"/>
        <v/>
      </c>
      <c r="I37" s="50" t="str">
        <f t="shared" si="2"/>
        <v/>
      </c>
    </row>
    <row r="38" spans="6:9" x14ac:dyDescent="0.4">
      <c r="F38" s="86">
        <f t="shared" si="3"/>
        <v>37</v>
      </c>
      <c r="G38" s="50" t="str">
        <f t="shared" si="4"/>
        <v/>
      </c>
      <c r="H38" s="50" t="str">
        <f t="shared" si="1"/>
        <v/>
      </c>
      <c r="I38" s="50" t="str">
        <f t="shared" si="2"/>
        <v/>
      </c>
    </row>
    <row r="39" spans="6:9" x14ac:dyDescent="0.4">
      <c r="F39" s="86">
        <f t="shared" si="3"/>
        <v>38</v>
      </c>
      <c r="G39" s="50" t="str">
        <f t="shared" si="4"/>
        <v/>
      </c>
      <c r="H39" s="50" t="str">
        <f t="shared" si="1"/>
        <v/>
      </c>
      <c r="I39" s="50" t="str">
        <f t="shared" si="2"/>
        <v/>
      </c>
    </row>
    <row r="40" spans="6:9" x14ac:dyDescent="0.4">
      <c r="F40" s="86">
        <f t="shared" si="3"/>
        <v>39</v>
      </c>
      <c r="G40" s="50" t="str">
        <f t="shared" si="4"/>
        <v/>
      </c>
      <c r="H40" s="50" t="str">
        <f t="shared" si="1"/>
        <v/>
      </c>
      <c r="I40" s="50" t="str">
        <f t="shared" si="2"/>
        <v/>
      </c>
    </row>
    <row r="41" spans="6:9" x14ac:dyDescent="0.4">
      <c r="F41" s="86">
        <f t="shared" si="3"/>
        <v>40</v>
      </c>
      <c r="G41" s="50" t="str">
        <f t="shared" si="4"/>
        <v/>
      </c>
      <c r="H41" s="50" t="str">
        <f t="shared" si="1"/>
        <v/>
      </c>
      <c r="I41" s="50" t="str">
        <f t="shared" si="2"/>
        <v/>
      </c>
    </row>
  </sheetData>
  <sheetProtection algorithmName="SHA-512" hashValue="lzAxKlc27fbE0ARZdobPEwIvjDv8+Muwokc8q/X3Kk/bedodHeG6uYD5Qo8Xe3QKacsZ92GjFTDu2Lyho8IB8Q==" saltValue="cS/5EVPaxlxsFWA3FqsXiw==" spinCount="100000" sheet="1" formatColumns="0" formatRows="0"/>
  <mergeCells count="6">
    <mergeCell ref="A16:D21"/>
    <mergeCell ref="E1:E2"/>
    <mergeCell ref="J1:J2"/>
    <mergeCell ref="A2:A3"/>
    <mergeCell ref="A7:A11"/>
    <mergeCell ref="A12:A14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工作表5"/>
  <dimension ref="A1:R322"/>
  <sheetViews>
    <sheetView zoomScale="70" zoomScaleNormal="70" workbookViewId="0">
      <pane xSplit="5" ySplit="10" topLeftCell="F11" activePane="bottomRight" state="frozen"/>
      <selection pane="topRight" activeCell="F1" sqref="F1"/>
      <selection pane="bottomLeft" activeCell="A12" sqref="A12"/>
      <selection pane="bottomRight" activeCell="A10" sqref="A10"/>
    </sheetView>
  </sheetViews>
  <sheetFormatPr defaultColWidth="8.1796875" defaultRowHeight="17" x14ac:dyDescent="0.4"/>
  <cols>
    <col min="1" max="1" width="8.6328125" style="198" bestFit="1" customWidth="1"/>
    <col min="2" max="5" width="8.54296875" style="204" bestFit="1" customWidth="1"/>
    <col min="6" max="6" width="7.453125" style="199" bestFit="1" customWidth="1"/>
    <col min="7" max="7" width="14.08984375" style="86" bestFit="1" customWidth="1"/>
    <col min="8" max="8" width="7.453125" style="199" bestFit="1" customWidth="1"/>
    <col min="9" max="9" width="14.08984375" style="86" bestFit="1" customWidth="1"/>
    <col min="10" max="10" width="7.453125" style="199" bestFit="1" customWidth="1"/>
    <col min="11" max="11" width="14.08984375" style="86" bestFit="1" customWidth="1"/>
    <col min="12" max="12" width="7.453125" style="199" bestFit="1" customWidth="1"/>
    <col min="13" max="13" width="14.08984375" style="86" bestFit="1" customWidth="1"/>
    <col min="14" max="14" width="7.453125" style="199" bestFit="1" customWidth="1"/>
    <col min="15" max="15" width="14.08984375" style="86" bestFit="1" customWidth="1"/>
    <col min="16" max="16" width="7.453125" style="199" customWidth="1"/>
    <col min="17" max="17" width="14.08984375" style="86" bestFit="1" customWidth="1"/>
    <col min="18" max="18" width="15.26953125" style="1" bestFit="1" customWidth="1"/>
    <col min="19" max="16384" width="8.1796875" style="1"/>
  </cols>
  <sheetData>
    <row r="1" spans="1:18" x14ac:dyDescent="0.4">
      <c r="A1" s="240" t="s">
        <v>126</v>
      </c>
      <c r="B1" s="241"/>
      <c r="C1" s="241"/>
      <c r="D1" s="241"/>
      <c r="E1" s="242"/>
      <c r="F1" s="243">
        <v>300000</v>
      </c>
      <c r="G1" s="244"/>
      <c r="H1" s="243">
        <v>1000</v>
      </c>
      <c r="I1" s="244"/>
      <c r="J1" s="243">
        <v>1000</v>
      </c>
      <c r="K1" s="244"/>
      <c r="L1" s="243">
        <v>1000</v>
      </c>
      <c r="M1" s="244"/>
      <c r="N1" s="243">
        <v>12000</v>
      </c>
      <c r="O1" s="244"/>
      <c r="P1" s="243">
        <v>12000</v>
      </c>
      <c r="Q1" s="244"/>
    </row>
    <row r="2" spans="1:18" x14ac:dyDescent="0.4">
      <c r="A2" s="240" t="s">
        <v>13</v>
      </c>
      <c r="B2" s="241"/>
      <c r="C2" s="241"/>
      <c r="D2" s="241"/>
      <c r="E2" s="242"/>
      <c r="F2" s="249">
        <f>SUM(F11:F321)</f>
        <v>5696</v>
      </c>
      <c r="G2" s="250"/>
      <c r="H2" s="249">
        <f>SUM(H11:H321)</f>
        <v>4669</v>
      </c>
      <c r="I2" s="250"/>
      <c r="J2" s="249">
        <f>SUM(J11:J321)</f>
        <v>4411</v>
      </c>
      <c r="K2" s="250"/>
      <c r="L2" s="249">
        <f>SUM(L11:L321)</f>
        <v>4960</v>
      </c>
      <c r="M2" s="250"/>
      <c r="N2" s="249">
        <f>SUM(N11:N321)</f>
        <v>3939</v>
      </c>
      <c r="O2" s="250"/>
      <c r="P2" s="249">
        <f>SUM(P11:P321)</f>
        <v>6162</v>
      </c>
      <c r="Q2" s="250"/>
    </row>
    <row r="3" spans="1:18" s="195" customFormat="1" x14ac:dyDescent="0.4">
      <c r="A3" s="237" t="s">
        <v>8</v>
      </c>
      <c r="B3" s="238"/>
      <c r="C3" s="238"/>
      <c r="D3" s="238"/>
      <c r="E3" s="239"/>
      <c r="F3" s="247">
        <f>SUM(G11:G321)</f>
        <v>-299951.35999999999</v>
      </c>
      <c r="G3" s="248"/>
      <c r="H3" s="247">
        <f>SUM(I11:I321)</f>
        <v>-290969.06000000011</v>
      </c>
      <c r="I3" s="248"/>
      <c r="J3" s="247">
        <f>SUM(K11:K321)</f>
        <v>-289659.34000000008</v>
      </c>
      <c r="K3" s="248"/>
      <c r="L3" s="247">
        <f>SUM(M11:M321)</f>
        <v>-291292.98000000021</v>
      </c>
      <c r="M3" s="248"/>
      <c r="N3" s="247">
        <f>SUM(O11:O321)</f>
        <v>-309891.08999999997</v>
      </c>
      <c r="O3" s="248"/>
      <c r="P3" s="247">
        <f>SUM(Q11:Q321)</f>
        <v>-310909.15000000002</v>
      </c>
      <c r="Q3" s="248"/>
    </row>
    <row r="4" spans="1:18" s="195" customFormat="1" x14ac:dyDescent="0.4">
      <c r="A4" s="237" t="s">
        <v>9</v>
      </c>
      <c r="B4" s="238"/>
      <c r="C4" s="238"/>
      <c r="D4" s="238"/>
      <c r="E4" s="239"/>
      <c r="F4" s="247">
        <f>F3/F2</f>
        <v>-52.66</v>
      </c>
      <c r="G4" s="248"/>
      <c r="H4" s="247">
        <f>H3/H2</f>
        <v>-62.319353180552604</v>
      </c>
      <c r="I4" s="248"/>
      <c r="J4" s="247">
        <f>J3/J2</f>
        <v>-65.667499433235108</v>
      </c>
      <c r="K4" s="248"/>
      <c r="L4" s="247">
        <f>L3/L2</f>
        <v>-58.728423387096818</v>
      </c>
      <c r="M4" s="248"/>
      <c r="N4" s="247">
        <f>N3/N2</f>
        <v>-78.672528560548358</v>
      </c>
      <c r="O4" s="248"/>
      <c r="P4" s="247">
        <f>P3/P2</f>
        <v>-50.455882830249919</v>
      </c>
      <c r="Q4" s="248"/>
    </row>
    <row r="5" spans="1:18" s="195" customFormat="1" x14ac:dyDescent="0.4">
      <c r="A5" s="237" t="s">
        <v>10</v>
      </c>
      <c r="B5" s="238"/>
      <c r="C5" s="238"/>
      <c r="D5" s="238"/>
      <c r="E5" s="239"/>
      <c r="F5" s="247">
        <f>$B$321*F2</f>
        <v>2998830.08</v>
      </c>
      <c r="G5" s="248"/>
      <c r="H5" s="247">
        <f>$B$321*H2</f>
        <v>2458135.12</v>
      </c>
      <c r="I5" s="248"/>
      <c r="J5" s="247">
        <f>$B$321*J2</f>
        <v>2322303.2800000003</v>
      </c>
      <c r="K5" s="248"/>
      <c r="L5" s="247">
        <f>$B$321*L2</f>
        <v>2611340.8000000003</v>
      </c>
      <c r="M5" s="248"/>
      <c r="N5" s="247">
        <f>$B$321*N2</f>
        <v>2073804.72</v>
      </c>
      <c r="O5" s="248"/>
      <c r="P5" s="247">
        <f>$B$321*P2</f>
        <v>3244169.7600000002</v>
      </c>
      <c r="Q5" s="248"/>
    </row>
    <row r="6" spans="1:18" s="195" customFormat="1" x14ac:dyDescent="0.4">
      <c r="A6" s="237" t="s">
        <v>128</v>
      </c>
      <c r="B6" s="238"/>
      <c r="C6" s="238"/>
      <c r="D6" s="238"/>
      <c r="E6" s="239"/>
      <c r="F6" s="247">
        <f>F5-ABS(F3)</f>
        <v>2698878.72</v>
      </c>
      <c r="G6" s="248"/>
      <c r="H6" s="247">
        <f t="shared" ref="H6" si="0">H5-ABS(H3)</f>
        <v>2167166.06</v>
      </c>
      <c r="I6" s="248"/>
      <c r="J6" s="247">
        <f t="shared" ref="J6" si="1">J5-ABS(J3)</f>
        <v>2032643.9400000002</v>
      </c>
      <c r="K6" s="248"/>
      <c r="L6" s="247">
        <f t="shared" ref="L6" si="2">L5-ABS(L3)</f>
        <v>2320047.8200000003</v>
      </c>
      <c r="M6" s="248"/>
      <c r="N6" s="247">
        <f t="shared" ref="N6" si="3">N5-ABS(N3)</f>
        <v>1763913.63</v>
      </c>
      <c r="O6" s="248"/>
      <c r="P6" s="247">
        <f t="shared" ref="P6" si="4">P5-ABS(P3)</f>
        <v>2933260.6100000003</v>
      </c>
      <c r="Q6" s="248"/>
      <c r="R6" s="195">
        <f>F6-H6</f>
        <v>531712.66000000015</v>
      </c>
    </row>
    <row r="7" spans="1:18" x14ac:dyDescent="0.4">
      <c r="A7" s="240" t="s">
        <v>129</v>
      </c>
      <c r="B7" s="241"/>
      <c r="C7" s="241"/>
      <c r="D7" s="241"/>
      <c r="E7" s="242"/>
      <c r="F7" s="253">
        <f>F6/ABS(F3)</f>
        <v>8.9977212305355128</v>
      </c>
      <c r="G7" s="254"/>
      <c r="H7" s="253">
        <f t="shared" ref="H7" si="5">H6/ABS(H3)</f>
        <v>7.4480979524077204</v>
      </c>
      <c r="I7" s="254"/>
      <c r="J7" s="253">
        <f t="shared" ref="J7" si="6">J6/ABS(J3)</f>
        <v>7.0173602549809013</v>
      </c>
      <c r="K7" s="254"/>
      <c r="L7" s="253">
        <f t="shared" ref="L7" si="7">L6/ABS(L3)</f>
        <v>7.964654074396158</v>
      </c>
      <c r="M7" s="254"/>
      <c r="N7" s="253">
        <f t="shared" ref="N7" si="8">N6/ABS(N3)</f>
        <v>5.6920437112277096</v>
      </c>
      <c r="O7" s="254"/>
      <c r="P7" s="253">
        <f t="shared" ref="P7" si="9">P6/ABS(P3)</f>
        <v>9.4344621571928649</v>
      </c>
      <c r="Q7" s="254"/>
      <c r="R7" s="59">
        <f>R6*33</f>
        <v>17546517.780000005</v>
      </c>
    </row>
    <row r="8" spans="1:18" x14ac:dyDescent="0.4">
      <c r="A8" s="240" t="s">
        <v>114</v>
      </c>
      <c r="B8" s="241"/>
      <c r="C8" s="241"/>
      <c r="D8" s="241"/>
      <c r="E8" s="242"/>
      <c r="F8" s="255">
        <f>(1+F7)^(1/$A$10)-1</f>
        <v>9.3553767881540795E-2</v>
      </c>
      <c r="G8" s="256"/>
      <c r="H8" s="253">
        <f>(1+H7)^(1/$A$10)-1</f>
        <v>8.6423150256406345E-2</v>
      </c>
      <c r="I8" s="254"/>
      <c r="J8" s="253">
        <f>(1+J7)^(1/$A$10)-1</f>
        <v>8.4216926196688524E-2</v>
      </c>
      <c r="K8" s="254"/>
      <c r="L8" s="253">
        <f>(1+L7)^(1/$A$10)-1</f>
        <v>8.8930593029985516E-2</v>
      </c>
      <c r="M8" s="254"/>
      <c r="N8" s="253">
        <f>(1+N7)^(1/$A$10)-1</f>
        <v>7.6633758442559818E-2</v>
      </c>
      <c r="O8" s="254"/>
      <c r="P8" s="253">
        <f>(1+P7)^(1/$A$10)-1</f>
        <v>9.537150004688022E-2</v>
      </c>
      <c r="Q8" s="254"/>
      <c r="R8" s="59"/>
    </row>
    <row r="9" spans="1:18" s="2" customFormat="1" x14ac:dyDescent="0.4">
      <c r="A9" s="196" t="s">
        <v>33</v>
      </c>
      <c r="B9" s="251" t="s">
        <v>7</v>
      </c>
      <c r="C9" s="251" t="s">
        <v>2</v>
      </c>
      <c r="D9" s="251" t="s">
        <v>3</v>
      </c>
      <c r="E9" s="251" t="s">
        <v>1</v>
      </c>
      <c r="F9" s="245" t="s">
        <v>119</v>
      </c>
      <c r="G9" s="246"/>
      <c r="H9" s="245" t="s">
        <v>127</v>
      </c>
      <c r="I9" s="246"/>
      <c r="J9" s="245" t="s">
        <v>14</v>
      </c>
      <c r="K9" s="246"/>
      <c r="L9" s="245" t="s">
        <v>15</v>
      </c>
      <c r="M9" s="246"/>
      <c r="N9" s="245" t="s">
        <v>16</v>
      </c>
      <c r="O9" s="246"/>
      <c r="P9" s="245" t="s">
        <v>17</v>
      </c>
      <c r="Q9" s="246"/>
    </row>
    <row r="10" spans="1:18" s="2" customFormat="1" x14ac:dyDescent="0.4">
      <c r="A10" s="197">
        <f>_xlfn.DAYS(A321,A11)/365.25</f>
        <v>25.744010951403148</v>
      </c>
      <c r="B10" s="252"/>
      <c r="C10" s="252"/>
      <c r="D10" s="252"/>
      <c r="E10" s="252"/>
      <c r="F10" s="169" t="s">
        <v>11</v>
      </c>
      <c r="G10" s="170" t="s">
        <v>12</v>
      </c>
      <c r="H10" s="169" t="s">
        <v>11</v>
      </c>
      <c r="I10" s="170" t="s">
        <v>12</v>
      </c>
      <c r="J10" s="169" t="s">
        <v>11</v>
      </c>
      <c r="K10" s="170" t="s">
        <v>12</v>
      </c>
      <c r="L10" s="169" t="s">
        <v>11</v>
      </c>
      <c r="M10" s="170" t="s">
        <v>12</v>
      </c>
      <c r="N10" s="169" t="s">
        <v>11</v>
      </c>
      <c r="O10" s="170" t="s">
        <v>12</v>
      </c>
      <c r="P10" s="169" t="s">
        <v>11</v>
      </c>
      <c r="Q10" s="170" t="s">
        <v>12</v>
      </c>
    </row>
    <row r="11" spans="1:18" x14ac:dyDescent="0.4">
      <c r="A11" s="198">
        <v>36229</v>
      </c>
      <c r="B11" s="177">
        <v>52.66</v>
      </c>
      <c r="C11" s="177">
        <v>53.96</v>
      </c>
      <c r="D11" s="177">
        <v>48.3</v>
      </c>
      <c r="E11" s="177">
        <v>50.96</v>
      </c>
      <c r="F11" s="199">
        <f>INT($F$1/B11)</f>
        <v>5696</v>
      </c>
      <c r="G11" s="200">
        <f>-F11*B11</f>
        <v>-299951.35999999999</v>
      </c>
      <c r="H11" s="199">
        <f t="shared" ref="H11:H74" si="10">INT(H$1/$E11)</f>
        <v>19</v>
      </c>
      <c r="I11" s="200">
        <f t="shared" ref="I11:I74" si="11">-H11*E11</f>
        <v>-968.24</v>
      </c>
      <c r="J11" s="199">
        <f t="shared" ref="J11:J77" si="12">INT(J$1/$C11)</f>
        <v>18</v>
      </c>
      <c r="K11" s="200">
        <f t="shared" ref="K11:K77" si="13">-J11*$C11</f>
        <v>-971.28</v>
      </c>
      <c r="L11" s="199">
        <f>INT(L$1/$D11)</f>
        <v>20</v>
      </c>
      <c r="M11" s="200">
        <f>-L11*$D11</f>
        <v>-966</v>
      </c>
      <c r="N11" s="199">
        <f>INT(N$1/MAX(C11:C20))</f>
        <v>128</v>
      </c>
      <c r="O11" s="200">
        <f>N11*-MAX(C11:C20)</f>
        <v>-11996.16</v>
      </c>
      <c r="P11" s="199">
        <f>INT(P$1/MIN(D11:D20))</f>
        <v>248</v>
      </c>
      <c r="Q11" s="200">
        <f>P11*-MIN(D11:D20)</f>
        <v>-11978.4</v>
      </c>
    </row>
    <row r="12" spans="1:18" x14ac:dyDescent="0.4">
      <c r="A12" s="198">
        <v>36280</v>
      </c>
      <c r="B12" s="177">
        <v>53.4</v>
      </c>
      <c r="C12" s="177">
        <v>57.04</v>
      </c>
      <c r="D12" s="177">
        <v>48.64</v>
      </c>
      <c r="E12" s="177">
        <v>53.78</v>
      </c>
      <c r="G12" s="200"/>
      <c r="H12" s="199">
        <f t="shared" si="10"/>
        <v>18</v>
      </c>
      <c r="I12" s="200">
        <f t="shared" si="11"/>
        <v>-968.04</v>
      </c>
      <c r="J12" s="199">
        <f t="shared" si="12"/>
        <v>17</v>
      </c>
      <c r="K12" s="200">
        <f t="shared" si="13"/>
        <v>-969.68</v>
      </c>
      <c r="L12" s="199">
        <f t="shared" ref="L12:L78" si="14">INT(L$1/$D12)</f>
        <v>20</v>
      </c>
      <c r="M12" s="200">
        <f t="shared" ref="M12:M78" si="15">-L12*$D12</f>
        <v>-972.8</v>
      </c>
      <c r="O12" s="200"/>
      <c r="Q12" s="200"/>
    </row>
    <row r="13" spans="1:18" x14ac:dyDescent="0.4">
      <c r="A13" s="198">
        <v>36311</v>
      </c>
      <c r="B13" s="177">
        <v>52.03</v>
      </c>
      <c r="C13" s="177">
        <v>56</v>
      </c>
      <c r="D13" s="177">
        <v>48.94</v>
      </c>
      <c r="E13" s="177">
        <v>53.4</v>
      </c>
      <c r="G13" s="200"/>
      <c r="H13" s="199">
        <f t="shared" si="10"/>
        <v>18</v>
      </c>
      <c r="I13" s="200">
        <f t="shared" si="11"/>
        <v>-961.19999999999993</v>
      </c>
      <c r="J13" s="199">
        <f t="shared" si="12"/>
        <v>17</v>
      </c>
      <c r="K13" s="200">
        <f t="shared" si="13"/>
        <v>-952</v>
      </c>
      <c r="L13" s="199">
        <f t="shared" si="14"/>
        <v>20</v>
      </c>
      <c r="M13" s="200">
        <f t="shared" si="15"/>
        <v>-978.8</v>
      </c>
      <c r="O13" s="200"/>
      <c r="Q13" s="200"/>
    </row>
    <row r="14" spans="1:18" x14ac:dyDescent="0.4">
      <c r="A14" s="198">
        <v>36341</v>
      </c>
      <c r="B14" s="177">
        <v>57.66</v>
      </c>
      <c r="C14" s="177">
        <v>60</v>
      </c>
      <c r="D14" s="177">
        <v>49.57</v>
      </c>
      <c r="E14" s="177">
        <v>51.94</v>
      </c>
      <c r="G14" s="200"/>
      <c r="H14" s="199">
        <f t="shared" si="10"/>
        <v>19</v>
      </c>
      <c r="I14" s="200">
        <f t="shared" si="11"/>
        <v>-986.8599999999999</v>
      </c>
      <c r="J14" s="199">
        <f t="shared" si="12"/>
        <v>16</v>
      </c>
      <c r="K14" s="200">
        <f t="shared" ref="K14:K16" si="16">-J14*$C14</f>
        <v>-960</v>
      </c>
      <c r="L14" s="199">
        <f t="shared" si="14"/>
        <v>20</v>
      </c>
      <c r="M14" s="200">
        <f t="shared" ref="M14:M16" si="17">-L14*$D14</f>
        <v>-991.4</v>
      </c>
      <c r="O14" s="200"/>
      <c r="Q14" s="200"/>
    </row>
    <row r="15" spans="1:18" x14ac:dyDescent="0.4">
      <c r="A15" s="198">
        <v>36372</v>
      </c>
      <c r="B15" s="177">
        <v>56.59</v>
      </c>
      <c r="C15" s="177">
        <v>61.66</v>
      </c>
      <c r="D15" s="177">
        <v>55.78</v>
      </c>
      <c r="E15" s="177">
        <v>57.81</v>
      </c>
      <c r="G15" s="200"/>
      <c r="H15" s="199">
        <f t="shared" si="10"/>
        <v>17</v>
      </c>
      <c r="I15" s="200">
        <f t="shared" si="11"/>
        <v>-982.77</v>
      </c>
      <c r="J15" s="199">
        <f t="shared" si="12"/>
        <v>16</v>
      </c>
      <c r="K15" s="200">
        <f t="shared" si="16"/>
        <v>-986.56</v>
      </c>
      <c r="L15" s="199">
        <f t="shared" si="14"/>
        <v>17</v>
      </c>
      <c r="M15" s="200">
        <f t="shared" si="17"/>
        <v>-948.26</v>
      </c>
      <c r="O15" s="200"/>
      <c r="Q15" s="200"/>
    </row>
    <row r="16" spans="1:18" x14ac:dyDescent="0.4">
      <c r="A16" s="198">
        <v>36403</v>
      </c>
      <c r="B16" s="177">
        <v>59.69</v>
      </c>
      <c r="C16" s="177">
        <v>61.72</v>
      </c>
      <c r="D16" s="177">
        <v>52.94</v>
      </c>
      <c r="E16" s="177">
        <v>57.13</v>
      </c>
      <c r="G16" s="200"/>
      <c r="H16" s="199">
        <f t="shared" si="10"/>
        <v>17</v>
      </c>
      <c r="I16" s="200">
        <f t="shared" si="11"/>
        <v>-971.21</v>
      </c>
      <c r="J16" s="199">
        <f t="shared" si="12"/>
        <v>16</v>
      </c>
      <c r="K16" s="200">
        <f t="shared" si="16"/>
        <v>-987.52</v>
      </c>
      <c r="L16" s="199">
        <f t="shared" si="14"/>
        <v>18</v>
      </c>
      <c r="M16" s="200">
        <f t="shared" si="17"/>
        <v>-952.92</v>
      </c>
      <c r="O16" s="200"/>
      <c r="Q16" s="200"/>
    </row>
    <row r="17" spans="1:17" hidden="1" x14ac:dyDescent="0.4">
      <c r="A17" s="198">
        <v>36433</v>
      </c>
      <c r="B17" s="177">
        <v>60.19</v>
      </c>
      <c r="C17" s="177">
        <v>63.75</v>
      </c>
      <c r="D17" s="177">
        <v>58.63</v>
      </c>
      <c r="E17" s="177">
        <v>59.69</v>
      </c>
      <c r="G17" s="200"/>
      <c r="H17" s="199">
        <f t="shared" si="10"/>
        <v>16</v>
      </c>
      <c r="I17" s="200">
        <f t="shared" si="11"/>
        <v>-955.04</v>
      </c>
      <c r="J17" s="199">
        <f t="shared" si="12"/>
        <v>15</v>
      </c>
      <c r="K17" s="200">
        <f t="shared" si="13"/>
        <v>-956.25</v>
      </c>
      <c r="L17" s="199">
        <f t="shared" si="14"/>
        <v>17</v>
      </c>
      <c r="M17" s="200">
        <f t="shared" si="15"/>
        <v>-996.71</v>
      </c>
      <c r="O17" s="200"/>
      <c r="Q17" s="200"/>
    </row>
    <row r="18" spans="1:17" hidden="1" x14ac:dyDescent="0.4">
      <c r="A18" s="198">
        <v>36464</v>
      </c>
      <c r="B18" s="177">
        <v>65.75</v>
      </c>
      <c r="C18" s="177">
        <v>66.22</v>
      </c>
      <c r="D18" s="177">
        <v>57.41</v>
      </c>
      <c r="E18" s="177">
        <v>59.38</v>
      </c>
      <c r="G18" s="200"/>
      <c r="H18" s="199">
        <f t="shared" si="10"/>
        <v>16</v>
      </c>
      <c r="I18" s="200">
        <f t="shared" si="11"/>
        <v>-950.08</v>
      </c>
      <c r="J18" s="199">
        <f t="shared" si="12"/>
        <v>15</v>
      </c>
      <c r="K18" s="200">
        <f t="shared" si="13"/>
        <v>-993.3</v>
      </c>
      <c r="L18" s="199">
        <f t="shared" si="14"/>
        <v>17</v>
      </c>
      <c r="M18" s="200">
        <f t="shared" si="15"/>
        <v>-975.96999999999991</v>
      </c>
      <c r="O18" s="200"/>
      <c r="Q18" s="200"/>
    </row>
    <row r="19" spans="1:17" hidden="1" x14ac:dyDescent="0.4">
      <c r="A19" s="198">
        <v>36494</v>
      </c>
      <c r="B19" s="177">
        <v>73.97</v>
      </c>
      <c r="C19" s="177">
        <v>78.78</v>
      </c>
      <c r="D19" s="177">
        <v>65.2</v>
      </c>
      <c r="E19" s="177">
        <v>65.75</v>
      </c>
      <c r="G19" s="200"/>
      <c r="H19" s="199">
        <f t="shared" si="10"/>
        <v>15</v>
      </c>
      <c r="I19" s="200">
        <f t="shared" si="11"/>
        <v>-986.25</v>
      </c>
      <c r="J19" s="199">
        <f t="shared" si="12"/>
        <v>12</v>
      </c>
      <c r="K19" s="200">
        <f t="shared" si="13"/>
        <v>-945.36</v>
      </c>
      <c r="L19" s="199">
        <f t="shared" si="14"/>
        <v>15</v>
      </c>
      <c r="M19" s="200">
        <f t="shared" si="15"/>
        <v>-978</v>
      </c>
      <c r="O19" s="200"/>
      <c r="Q19" s="200"/>
    </row>
    <row r="20" spans="1:17" hidden="1" x14ac:dyDescent="0.4">
      <c r="A20" s="198">
        <v>36525</v>
      </c>
      <c r="B20" s="177">
        <v>91.38</v>
      </c>
      <c r="C20" s="177">
        <v>93.72</v>
      </c>
      <c r="D20" s="177">
        <v>73.81</v>
      </c>
      <c r="E20" s="177">
        <v>75.47</v>
      </c>
      <c r="G20" s="200"/>
      <c r="H20" s="199">
        <f t="shared" si="10"/>
        <v>13</v>
      </c>
      <c r="I20" s="200">
        <f t="shared" si="11"/>
        <v>-981.11</v>
      </c>
      <c r="J20" s="199">
        <f t="shared" si="12"/>
        <v>10</v>
      </c>
      <c r="K20" s="200">
        <f t="shared" si="13"/>
        <v>-937.2</v>
      </c>
      <c r="L20" s="199">
        <f t="shared" si="14"/>
        <v>13</v>
      </c>
      <c r="M20" s="200">
        <f t="shared" si="15"/>
        <v>-959.53</v>
      </c>
      <c r="O20" s="200"/>
      <c r="Q20" s="200"/>
    </row>
    <row r="21" spans="1:17" hidden="1" x14ac:dyDescent="0.4">
      <c r="A21" s="198">
        <v>36556</v>
      </c>
      <c r="B21" s="177">
        <v>89.69</v>
      </c>
      <c r="C21" s="177">
        <v>98.75</v>
      </c>
      <c r="D21" s="177">
        <v>81</v>
      </c>
      <c r="E21" s="177">
        <v>96.19</v>
      </c>
      <c r="G21" s="200"/>
      <c r="H21" s="199">
        <f t="shared" si="10"/>
        <v>10</v>
      </c>
      <c r="I21" s="200">
        <f t="shared" si="11"/>
        <v>-961.9</v>
      </c>
      <c r="J21" s="199">
        <f t="shared" si="12"/>
        <v>10</v>
      </c>
      <c r="K21" s="200">
        <f t="shared" si="13"/>
        <v>-987.5</v>
      </c>
      <c r="L21" s="199">
        <f t="shared" si="14"/>
        <v>12</v>
      </c>
      <c r="M21" s="200">
        <f t="shared" si="15"/>
        <v>-972</v>
      </c>
      <c r="N21" s="199">
        <f>INT(N$1/MAX(C21:C32))</f>
        <v>99</v>
      </c>
      <c r="O21" s="200">
        <f>N21*-MAX(C21:C32)</f>
        <v>-11927.52</v>
      </c>
      <c r="P21" s="199">
        <f>INT(P$1/MIN(D21:D32))</f>
        <v>220</v>
      </c>
      <c r="Q21" s="200">
        <f>P21*-MIN(D21:D32)</f>
        <v>-11963.6</v>
      </c>
    </row>
    <row r="22" spans="1:17" hidden="1" x14ac:dyDescent="0.4">
      <c r="A22" s="198">
        <v>36585</v>
      </c>
      <c r="B22" s="177">
        <v>106.75</v>
      </c>
      <c r="C22" s="177">
        <v>107.44</v>
      </c>
      <c r="D22" s="177">
        <v>88.5</v>
      </c>
      <c r="E22" s="177">
        <v>89.53</v>
      </c>
      <c r="G22" s="200"/>
      <c r="H22" s="199">
        <f t="shared" si="10"/>
        <v>11</v>
      </c>
      <c r="I22" s="200">
        <f t="shared" si="11"/>
        <v>-984.83</v>
      </c>
      <c r="J22" s="199">
        <f t="shared" si="12"/>
        <v>9</v>
      </c>
      <c r="K22" s="200">
        <f t="shared" si="13"/>
        <v>-966.96</v>
      </c>
      <c r="L22" s="199">
        <f t="shared" si="14"/>
        <v>11</v>
      </c>
      <c r="M22" s="200">
        <f t="shared" si="15"/>
        <v>-973.5</v>
      </c>
      <c r="O22" s="200"/>
      <c r="Q22" s="200"/>
    </row>
    <row r="23" spans="1:17" hidden="1" x14ac:dyDescent="0.4">
      <c r="A23" s="198">
        <v>36616</v>
      </c>
      <c r="B23" s="177">
        <v>109.63</v>
      </c>
      <c r="C23" s="177">
        <v>120.48</v>
      </c>
      <c r="D23" s="177">
        <v>101</v>
      </c>
      <c r="E23" s="177">
        <v>107.25</v>
      </c>
      <c r="G23" s="200"/>
      <c r="H23" s="199">
        <f t="shared" si="10"/>
        <v>9</v>
      </c>
      <c r="I23" s="200">
        <f t="shared" si="11"/>
        <v>-965.25</v>
      </c>
      <c r="J23" s="199">
        <f t="shared" si="12"/>
        <v>8</v>
      </c>
      <c r="K23" s="200">
        <f t="shared" si="13"/>
        <v>-963.84</v>
      </c>
      <c r="L23" s="199">
        <f t="shared" si="14"/>
        <v>9</v>
      </c>
      <c r="M23" s="200">
        <f t="shared" si="15"/>
        <v>-909</v>
      </c>
      <c r="O23" s="200"/>
      <c r="Q23" s="200"/>
    </row>
    <row r="24" spans="1:17" hidden="1" x14ac:dyDescent="0.4">
      <c r="A24" s="198">
        <v>36646</v>
      </c>
      <c r="B24" s="177">
        <v>93.88</v>
      </c>
      <c r="C24" s="177">
        <v>109.13</v>
      </c>
      <c r="D24" s="177">
        <v>78.02</v>
      </c>
      <c r="E24" s="177">
        <v>107.77</v>
      </c>
      <c r="G24" s="200"/>
      <c r="H24" s="199">
        <f t="shared" si="10"/>
        <v>9</v>
      </c>
      <c r="I24" s="200">
        <f t="shared" si="11"/>
        <v>-969.93</v>
      </c>
      <c r="J24" s="199">
        <f t="shared" si="12"/>
        <v>9</v>
      </c>
      <c r="K24" s="200">
        <f t="shared" si="13"/>
        <v>-982.17</v>
      </c>
      <c r="L24" s="199">
        <f t="shared" si="14"/>
        <v>12</v>
      </c>
      <c r="M24" s="200">
        <f t="shared" si="15"/>
        <v>-936.24</v>
      </c>
      <c r="O24" s="200"/>
      <c r="Q24" s="200"/>
    </row>
    <row r="25" spans="1:17" hidden="1" x14ac:dyDescent="0.4">
      <c r="A25" s="198">
        <v>36677</v>
      </c>
      <c r="B25" s="177">
        <v>82.75</v>
      </c>
      <c r="C25" s="177">
        <v>96.81</v>
      </c>
      <c r="D25" s="177">
        <v>72.38</v>
      </c>
      <c r="E25" s="177">
        <v>95.69</v>
      </c>
      <c r="G25" s="200"/>
      <c r="H25" s="199">
        <f t="shared" si="10"/>
        <v>10</v>
      </c>
      <c r="I25" s="200">
        <f t="shared" si="11"/>
        <v>-956.9</v>
      </c>
      <c r="J25" s="199">
        <f t="shared" si="12"/>
        <v>10</v>
      </c>
      <c r="K25" s="200">
        <f t="shared" si="13"/>
        <v>-968.1</v>
      </c>
      <c r="L25" s="199">
        <f t="shared" si="14"/>
        <v>13</v>
      </c>
      <c r="M25" s="200">
        <f t="shared" si="15"/>
        <v>-940.93999999999994</v>
      </c>
      <c r="O25" s="200"/>
      <c r="Q25" s="200"/>
    </row>
    <row r="26" spans="1:17" hidden="1" x14ac:dyDescent="0.4">
      <c r="A26" s="198">
        <v>36707</v>
      </c>
      <c r="B26" s="177">
        <v>93.19</v>
      </c>
      <c r="C26" s="177">
        <v>99.69</v>
      </c>
      <c r="D26" s="177">
        <v>84.56</v>
      </c>
      <c r="E26" s="177">
        <v>85.19</v>
      </c>
      <c r="G26" s="200"/>
      <c r="H26" s="199">
        <f t="shared" si="10"/>
        <v>11</v>
      </c>
      <c r="I26" s="200">
        <f t="shared" si="11"/>
        <v>-937.08999999999992</v>
      </c>
      <c r="J26" s="199">
        <f t="shared" si="12"/>
        <v>10</v>
      </c>
      <c r="K26" s="200">
        <f t="shared" si="13"/>
        <v>-996.9</v>
      </c>
      <c r="L26" s="199">
        <f t="shared" si="14"/>
        <v>11</v>
      </c>
      <c r="M26" s="200">
        <f t="shared" si="15"/>
        <v>-930.16000000000008</v>
      </c>
      <c r="O26" s="200"/>
      <c r="Q26" s="200"/>
    </row>
    <row r="27" spans="1:17" hidden="1" x14ac:dyDescent="0.4">
      <c r="A27" s="198">
        <v>36738</v>
      </c>
      <c r="B27" s="177">
        <v>89.5</v>
      </c>
      <c r="C27" s="177">
        <v>102.05</v>
      </c>
      <c r="D27" s="177">
        <v>85.81</v>
      </c>
      <c r="E27" s="177">
        <v>93.5</v>
      </c>
      <c r="G27" s="200"/>
      <c r="H27" s="199">
        <f t="shared" si="10"/>
        <v>10</v>
      </c>
      <c r="I27" s="200">
        <f t="shared" si="11"/>
        <v>-935</v>
      </c>
      <c r="J27" s="199">
        <f t="shared" si="12"/>
        <v>9</v>
      </c>
      <c r="K27" s="200">
        <f t="shared" si="13"/>
        <v>-918.44999999999993</v>
      </c>
      <c r="L27" s="199">
        <f t="shared" si="14"/>
        <v>11</v>
      </c>
      <c r="M27" s="200">
        <f t="shared" si="15"/>
        <v>-943.91000000000008</v>
      </c>
      <c r="O27" s="200"/>
      <c r="Q27" s="200"/>
    </row>
    <row r="28" spans="1:17" hidden="1" x14ac:dyDescent="0.4">
      <c r="A28" s="198">
        <v>36769</v>
      </c>
      <c r="B28" s="177">
        <v>101.88</v>
      </c>
      <c r="C28" s="177">
        <v>101.88</v>
      </c>
      <c r="D28" s="177">
        <v>83.52</v>
      </c>
      <c r="E28" s="177">
        <v>89.81</v>
      </c>
      <c r="G28" s="200"/>
      <c r="H28" s="199">
        <f t="shared" si="10"/>
        <v>11</v>
      </c>
      <c r="I28" s="200">
        <f t="shared" si="11"/>
        <v>-987.91000000000008</v>
      </c>
      <c r="J28" s="199">
        <f t="shared" si="12"/>
        <v>9</v>
      </c>
      <c r="K28" s="200">
        <f t="shared" si="13"/>
        <v>-916.92</v>
      </c>
      <c r="L28" s="199">
        <f t="shared" si="14"/>
        <v>11</v>
      </c>
      <c r="M28" s="200">
        <f t="shared" si="15"/>
        <v>-918.71999999999991</v>
      </c>
      <c r="O28" s="200"/>
      <c r="Q28" s="200"/>
    </row>
    <row r="29" spans="1:17" hidden="1" x14ac:dyDescent="0.4">
      <c r="A29" s="198">
        <v>36799</v>
      </c>
      <c r="B29" s="177">
        <v>88.69</v>
      </c>
      <c r="C29" s="177">
        <v>103.5</v>
      </c>
      <c r="D29" s="177">
        <v>87.56</v>
      </c>
      <c r="E29" s="177">
        <v>103</v>
      </c>
      <c r="G29" s="200"/>
      <c r="H29" s="199">
        <f t="shared" si="10"/>
        <v>9</v>
      </c>
      <c r="I29" s="200">
        <f t="shared" si="11"/>
        <v>-927</v>
      </c>
      <c r="J29" s="199">
        <f t="shared" si="12"/>
        <v>9</v>
      </c>
      <c r="K29" s="200">
        <f t="shared" si="13"/>
        <v>-931.5</v>
      </c>
      <c r="L29" s="199">
        <f t="shared" si="14"/>
        <v>11</v>
      </c>
      <c r="M29" s="200">
        <f t="shared" si="15"/>
        <v>-963.16000000000008</v>
      </c>
      <c r="O29" s="200"/>
      <c r="Q29" s="200"/>
    </row>
    <row r="30" spans="1:17" hidden="1" x14ac:dyDescent="0.4">
      <c r="A30" s="198">
        <v>36830</v>
      </c>
      <c r="B30" s="177">
        <v>81.7</v>
      </c>
      <c r="C30" s="177">
        <v>90.25</v>
      </c>
      <c r="D30" s="177">
        <v>73.63</v>
      </c>
      <c r="E30" s="177">
        <v>90.25</v>
      </c>
      <c r="G30" s="200"/>
      <c r="H30" s="199">
        <f t="shared" si="10"/>
        <v>11</v>
      </c>
      <c r="I30" s="200">
        <f t="shared" si="11"/>
        <v>-992.75</v>
      </c>
      <c r="J30" s="199">
        <f t="shared" si="12"/>
        <v>11</v>
      </c>
      <c r="K30" s="200">
        <f t="shared" si="13"/>
        <v>-992.75</v>
      </c>
      <c r="L30" s="199">
        <f t="shared" si="14"/>
        <v>13</v>
      </c>
      <c r="M30" s="200">
        <f t="shared" si="15"/>
        <v>-957.18999999999994</v>
      </c>
      <c r="O30" s="200"/>
      <c r="Q30" s="200"/>
    </row>
    <row r="31" spans="1:17" hidden="1" x14ac:dyDescent="0.4">
      <c r="A31" s="198">
        <v>36860</v>
      </c>
      <c r="B31" s="177">
        <v>62.98</v>
      </c>
      <c r="C31" s="177">
        <v>84.11</v>
      </c>
      <c r="D31" s="177">
        <v>60.52</v>
      </c>
      <c r="E31" s="177">
        <v>80.31</v>
      </c>
      <c r="G31" s="200"/>
      <c r="H31" s="199">
        <f t="shared" si="10"/>
        <v>12</v>
      </c>
      <c r="I31" s="200">
        <f t="shared" si="11"/>
        <v>-963.72</v>
      </c>
      <c r="J31" s="199">
        <f t="shared" si="12"/>
        <v>11</v>
      </c>
      <c r="K31" s="200">
        <f t="shared" si="13"/>
        <v>-925.21</v>
      </c>
      <c r="L31" s="199">
        <f t="shared" si="14"/>
        <v>16</v>
      </c>
      <c r="M31" s="200">
        <f t="shared" si="15"/>
        <v>-968.32</v>
      </c>
      <c r="O31" s="200"/>
      <c r="Q31" s="200"/>
    </row>
    <row r="32" spans="1:17" hidden="1" x14ac:dyDescent="0.4">
      <c r="A32" s="198">
        <v>36891</v>
      </c>
      <c r="B32" s="177">
        <v>58.38</v>
      </c>
      <c r="C32" s="177">
        <v>74.67</v>
      </c>
      <c r="D32" s="177">
        <v>54.38</v>
      </c>
      <c r="E32" s="177">
        <v>64.06</v>
      </c>
      <c r="G32" s="200"/>
      <c r="H32" s="199">
        <f t="shared" si="10"/>
        <v>15</v>
      </c>
      <c r="I32" s="200">
        <f t="shared" si="11"/>
        <v>-960.90000000000009</v>
      </c>
      <c r="J32" s="199">
        <f t="shared" si="12"/>
        <v>13</v>
      </c>
      <c r="K32" s="200">
        <f t="shared" si="13"/>
        <v>-970.71</v>
      </c>
      <c r="L32" s="199">
        <f t="shared" si="14"/>
        <v>18</v>
      </c>
      <c r="M32" s="200">
        <f t="shared" si="15"/>
        <v>-978.84</v>
      </c>
      <c r="O32" s="200"/>
      <c r="Q32" s="200"/>
    </row>
    <row r="33" spans="1:17" hidden="1" x14ac:dyDescent="0.4">
      <c r="A33" s="198">
        <v>36922</v>
      </c>
      <c r="B33" s="177">
        <v>64.3</v>
      </c>
      <c r="C33" s="177">
        <v>69.09</v>
      </c>
      <c r="D33" s="177">
        <v>52.5</v>
      </c>
      <c r="E33" s="177">
        <v>58.56</v>
      </c>
      <c r="G33" s="200"/>
      <c r="H33" s="199">
        <f t="shared" si="10"/>
        <v>17</v>
      </c>
      <c r="I33" s="200">
        <f t="shared" si="11"/>
        <v>-995.52</v>
      </c>
      <c r="J33" s="199">
        <f t="shared" si="12"/>
        <v>14</v>
      </c>
      <c r="K33" s="200">
        <f t="shared" si="13"/>
        <v>-967.26</v>
      </c>
      <c r="L33" s="199">
        <f t="shared" si="14"/>
        <v>19</v>
      </c>
      <c r="M33" s="200">
        <f t="shared" si="15"/>
        <v>-997.5</v>
      </c>
      <c r="N33" s="199">
        <f>INT(N$1/MAX(C33:C44))</f>
        <v>173</v>
      </c>
      <c r="O33" s="200">
        <f>N33*-MAX(C33:C44)</f>
        <v>-11952.57</v>
      </c>
      <c r="P33" s="199">
        <f>INT(P$1/MIN(D33:D44))</f>
        <v>440</v>
      </c>
      <c r="Q33" s="200">
        <f>P33*-MIN(D33:D44)</f>
        <v>-11981.2</v>
      </c>
    </row>
    <row r="34" spans="1:17" hidden="1" x14ac:dyDescent="0.4">
      <c r="A34" s="198">
        <v>36950</v>
      </c>
      <c r="B34" s="177">
        <v>47.35</v>
      </c>
      <c r="C34" s="177">
        <v>65.599999999999994</v>
      </c>
      <c r="D34" s="177">
        <v>46.9</v>
      </c>
      <c r="E34" s="177">
        <v>64.55</v>
      </c>
      <c r="G34" s="200"/>
      <c r="H34" s="199">
        <f t="shared" si="10"/>
        <v>15</v>
      </c>
      <c r="I34" s="200">
        <f t="shared" si="11"/>
        <v>-968.25</v>
      </c>
      <c r="J34" s="199">
        <f t="shared" si="12"/>
        <v>15</v>
      </c>
      <c r="K34" s="200">
        <f t="shared" si="13"/>
        <v>-983.99999999999989</v>
      </c>
      <c r="L34" s="199">
        <f t="shared" si="14"/>
        <v>21</v>
      </c>
      <c r="M34" s="200">
        <f t="shared" si="15"/>
        <v>-984.9</v>
      </c>
      <c r="O34" s="200"/>
      <c r="Q34" s="200"/>
    </row>
    <row r="35" spans="1:17" hidden="1" x14ac:dyDescent="0.4">
      <c r="A35" s="198">
        <v>36981</v>
      </c>
      <c r="B35" s="177">
        <v>39.15</v>
      </c>
      <c r="C35" s="177">
        <v>50.65</v>
      </c>
      <c r="D35" s="177">
        <v>38.1</v>
      </c>
      <c r="E35" s="177">
        <v>46.9</v>
      </c>
      <c r="G35" s="200"/>
      <c r="H35" s="199">
        <f t="shared" si="10"/>
        <v>21</v>
      </c>
      <c r="I35" s="200">
        <f t="shared" si="11"/>
        <v>-984.9</v>
      </c>
      <c r="J35" s="199">
        <f t="shared" si="12"/>
        <v>19</v>
      </c>
      <c r="K35" s="200">
        <f t="shared" si="13"/>
        <v>-962.35</v>
      </c>
      <c r="L35" s="199">
        <f t="shared" si="14"/>
        <v>26</v>
      </c>
      <c r="M35" s="200">
        <f t="shared" si="15"/>
        <v>-990.6</v>
      </c>
      <c r="O35" s="200"/>
      <c r="Q35" s="200"/>
    </row>
    <row r="36" spans="1:17" hidden="1" x14ac:dyDescent="0.4">
      <c r="A36" s="198">
        <v>37011</v>
      </c>
      <c r="B36" s="177">
        <v>46.15</v>
      </c>
      <c r="C36" s="177">
        <v>49.4</v>
      </c>
      <c r="D36" s="177">
        <v>33.6</v>
      </c>
      <c r="E36" s="177">
        <v>39.15</v>
      </c>
      <c r="G36" s="200"/>
      <c r="H36" s="199">
        <f t="shared" si="10"/>
        <v>25</v>
      </c>
      <c r="I36" s="200">
        <f t="shared" si="11"/>
        <v>-978.75</v>
      </c>
      <c r="J36" s="199">
        <f t="shared" si="12"/>
        <v>20</v>
      </c>
      <c r="K36" s="200">
        <f t="shared" si="13"/>
        <v>-988</v>
      </c>
      <c r="L36" s="199">
        <f t="shared" si="14"/>
        <v>29</v>
      </c>
      <c r="M36" s="200">
        <f t="shared" si="15"/>
        <v>-974.40000000000009</v>
      </c>
      <c r="O36" s="200"/>
      <c r="Q36" s="200"/>
    </row>
    <row r="37" spans="1:17" hidden="1" x14ac:dyDescent="0.4">
      <c r="A37" s="198">
        <v>37042</v>
      </c>
      <c r="B37" s="177">
        <v>44.73</v>
      </c>
      <c r="C37" s="177">
        <v>51.55</v>
      </c>
      <c r="D37" s="177">
        <v>44.06</v>
      </c>
      <c r="E37" s="177">
        <v>46.25</v>
      </c>
      <c r="G37" s="200"/>
      <c r="H37" s="199">
        <f t="shared" si="10"/>
        <v>21</v>
      </c>
      <c r="I37" s="200">
        <f t="shared" si="11"/>
        <v>-971.25</v>
      </c>
      <c r="J37" s="199">
        <f t="shared" si="12"/>
        <v>19</v>
      </c>
      <c r="K37" s="200">
        <f t="shared" si="13"/>
        <v>-979.44999999999993</v>
      </c>
      <c r="L37" s="199">
        <f t="shared" si="14"/>
        <v>22</v>
      </c>
      <c r="M37" s="200">
        <f t="shared" si="15"/>
        <v>-969.32</v>
      </c>
      <c r="O37" s="200"/>
      <c r="Q37" s="200"/>
    </row>
    <row r="38" spans="1:17" hidden="1" x14ac:dyDescent="0.4">
      <c r="A38" s="198">
        <v>37072</v>
      </c>
      <c r="B38" s="177">
        <v>45.7</v>
      </c>
      <c r="C38" s="177">
        <v>48.9</v>
      </c>
      <c r="D38" s="177">
        <v>41.26</v>
      </c>
      <c r="E38" s="177">
        <v>45.5</v>
      </c>
      <c r="G38" s="200"/>
      <c r="H38" s="199">
        <f t="shared" si="10"/>
        <v>21</v>
      </c>
      <c r="I38" s="200">
        <f t="shared" si="11"/>
        <v>-955.5</v>
      </c>
      <c r="J38" s="199">
        <f t="shared" si="12"/>
        <v>20</v>
      </c>
      <c r="K38" s="200">
        <f t="shared" si="13"/>
        <v>-978</v>
      </c>
      <c r="L38" s="199">
        <f t="shared" si="14"/>
        <v>24</v>
      </c>
      <c r="M38" s="200">
        <f t="shared" si="15"/>
        <v>-990.24</v>
      </c>
      <c r="O38" s="200"/>
      <c r="Q38" s="200"/>
    </row>
    <row r="39" spans="1:17" hidden="1" x14ac:dyDescent="0.4">
      <c r="A39" s="198">
        <v>37103</v>
      </c>
      <c r="B39" s="177">
        <v>41.76</v>
      </c>
      <c r="C39" s="177">
        <v>46.47</v>
      </c>
      <c r="D39" s="177">
        <v>39.31</v>
      </c>
      <c r="E39" s="177">
        <v>45.7</v>
      </c>
      <c r="G39" s="200"/>
      <c r="H39" s="199">
        <f t="shared" si="10"/>
        <v>21</v>
      </c>
      <c r="I39" s="200">
        <f t="shared" si="11"/>
        <v>-959.7</v>
      </c>
      <c r="J39" s="199">
        <f t="shared" si="12"/>
        <v>21</v>
      </c>
      <c r="K39" s="200">
        <f t="shared" si="13"/>
        <v>-975.87</v>
      </c>
      <c r="L39" s="199">
        <f t="shared" si="14"/>
        <v>25</v>
      </c>
      <c r="M39" s="200">
        <f t="shared" si="15"/>
        <v>-982.75</v>
      </c>
      <c r="O39" s="200"/>
      <c r="Q39" s="200"/>
    </row>
    <row r="40" spans="1:17" hidden="1" x14ac:dyDescent="0.4">
      <c r="A40" s="198">
        <v>37134</v>
      </c>
      <c r="B40" s="177">
        <v>36.630000000000003</v>
      </c>
      <c r="C40" s="177">
        <v>44</v>
      </c>
      <c r="D40" s="177">
        <v>35.85</v>
      </c>
      <c r="E40" s="177">
        <v>42.7</v>
      </c>
      <c r="G40" s="200"/>
      <c r="H40" s="199">
        <f t="shared" si="10"/>
        <v>23</v>
      </c>
      <c r="I40" s="200">
        <f t="shared" si="11"/>
        <v>-982.1</v>
      </c>
      <c r="J40" s="199">
        <f t="shared" si="12"/>
        <v>22</v>
      </c>
      <c r="K40" s="200">
        <f t="shared" si="13"/>
        <v>-968</v>
      </c>
      <c r="L40" s="199">
        <f t="shared" si="14"/>
        <v>27</v>
      </c>
      <c r="M40" s="200">
        <f t="shared" si="15"/>
        <v>-967.95</v>
      </c>
      <c r="O40" s="200"/>
      <c r="Q40" s="200"/>
    </row>
    <row r="41" spans="1:17" hidden="1" x14ac:dyDescent="0.4">
      <c r="A41" s="198">
        <v>37164</v>
      </c>
      <c r="B41" s="177">
        <v>28.98</v>
      </c>
      <c r="C41" s="177">
        <v>37.5</v>
      </c>
      <c r="D41" s="177">
        <v>27.23</v>
      </c>
      <c r="E41" s="177">
        <v>36.450000000000003</v>
      </c>
      <c r="G41" s="200"/>
      <c r="H41" s="199">
        <f t="shared" si="10"/>
        <v>27</v>
      </c>
      <c r="I41" s="200">
        <f t="shared" si="11"/>
        <v>-984.15000000000009</v>
      </c>
      <c r="J41" s="199">
        <f t="shared" si="12"/>
        <v>26</v>
      </c>
      <c r="K41" s="200">
        <f t="shared" si="13"/>
        <v>-975</v>
      </c>
      <c r="L41" s="199">
        <f t="shared" si="14"/>
        <v>36</v>
      </c>
      <c r="M41" s="200">
        <f t="shared" si="15"/>
        <v>-980.28</v>
      </c>
      <c r="O41" s="200"/>
      <c r="Q41" s="200"/>
    </row>
    <row r="42" spans="1:17" hidden="1" x14ac:dyDescent="0.4">
      <c r="A42" s="198">
        <v>37195</v>
      </c>
      <c r="B42" s="177">
        <v>33.9</v>
      </c>
      <c r="C42" s="177">
        <v>37.04</v>
      </c>
      <c r="D42" s="177">
        <v>28.16</v>
      </c>
      <c r="E42" s="177">
        <v>28.81</v>
      </c>
      <c r="G42" s="200"/>
      <c r="H42" s="199">
        <f t="shared" si="10"/>
        <v>34</v>
      </c>
      <c r="I42" s="200">
        <f t="shared" si="11"/>
        <v>-979.54</v>
      </c>
      <c r="J42" s="199">
        <f t="shared" si="12"/>
        <v>26</v>
      </c>
      <c r="K42" s="200">
        <f t="shared" si="13"/>
        <v>-963.04</v>
      </c>
      <c r="L42" s="199">
        <f t="shared" si="14"/>
        <v>35</v>
      </c>
      <c r="M42" s="200">
        <f t="shared" si="15"/>
        <v>-985.6</v>
      </c>
      <c r="O42" s="200"/>
      <c r="Q42" s="200"/>
    </row>
    <row r="43" spans="1:17" hidden="1" x14ac:dyDescent="0.4">
      <c r="A43" s="198">
        <v>37225</v>
      </c>
      <c r="B43" s="177">
        <v>39.65</v>
      </c>
      <c r="C43" s="177">
        <v>40.96</v>
      </c>
      <c r="D43" s="177">
        <v>33.799999999999997</v>
      </c>
      <c r="E43" s="177">
        <v>34.479999999999997</v>
      </c>
      <c r="G43" s="200"/>
      <c r="H43" s="199">
        <f t="shared" si="10"/>
        <v>29</v>
      </c>
      <c r="I43" s="200">
        <f t="shared" si="11"/>
        <v>-999.92</v>
      </c>
      <c r="J43" s="199">
        <f t="shared" si="12"/>
        <v>24</v>
      </c>
      <c r="K43" s="200">
        <f t="shared" si="13"/>
        <v>-983.04</v>
      </c>
      <c r="L43" s="199">
        <f t="shared" si="14"/>
        <v>29</v>
      </c>
      <c r="M43" s="200">
        <f t="shared" si="15"/>
        <v>-980.19999999999993</v>
      </c>
      <c r="O43" s="200"/>
      <c r="Q43" s="200"/>
    </row>
    <row r="44" spans="1:17" hidden="1" x14ac:dyDescent="0.4">
      <c r="A44" s="198">
        <v>37256</v>
      </c>
      <c r="B44" s="177">
        <v>38.909999999999997</v>
      </c>
      <c r="C44" s="177">
        <v>43.24</v>
      </c>
      <c r="D44" s="177">
        <v>38.68</v>
      </c>
      <c r="E44" s="177">
        <v>39.26</v>
      </c>
      <c r="G44" s="200"/>
      <c r="H44" s="199">
        <f t="shared" si="10"/>
        <v>25</v>
      </c>
      <c r="I44" s="200">
        <f t="shared" si="11"/>
        <v>-981.5</v>
      </c>
      <c r="J44" s="199">
        <f t="shared" si="12"/>
        <v>23</v>
      </c>
      <c r="K44" s="200">
        <f t="shared" si="13"/>
        <v>-994.5200000000001</v>
      </c>
      <c r="L44" s="199">
        <f t="shared" si="14"/>
        <v>25</v>
      </c>
      <c r="M44" s="200">
        <f t="shared" si="15"/>
        <v>-967</v>
      </c>
      <c r="O44" s="200"/>
      <c r="Q44" s="200"/>
    </row>
    <row r="45" spans="1:17" hidden="1" x14ac:dyDescent="0.4">
      <c r="A45" s="198">
        <v>37287</v>
      </c>
      <c r="B45" s="177">
        <v>38.51</v>
      </c>
      <c r="C45" s="177">
        <v>42.59</v>
      </c>
      <c r="D45" s="177">
        <v>36.85</v>
      </c>
      <c r="E45" s="177">
        <v>39.56</v>
      </c>
      <c r="G45" s="200"/>
      <c r="H45" s="199">
        <f t="shared" si="10"/>
        <v>25</v>
      </c>
      <c r="I45" s="200">
        <f t="shared" si="11"/>
        <v>-989</v>
      </c>
      <c r="J45" s="199">
        <f t="shared" si="12"/>
        <v>23</v>
      </c>
      <c r="K45" s="200">
        <f t="shared" si="13"/>
        <v>-979.57</v>
      </c>
      <c r="L45" s="199">
        <f t="shared" si="14"/>
        <v>27</v>
      </c>
      <c r="M45" s="200">
        <f t="shared" si="15"/>
        <v>-994.95</v>
      </c>
      <c r="N45" s="199">
        <f>INT(N$1/MAX(C45:C56))</f>
        <v>281</v>
      </c>
      <c r="O45" s="200">
        <f>N45*-MAX(C45:C56)</f>
        <v>-11967.79</v>
      </c>
      <c r="P45" s="199">
        <f>INT(P$1/MIN(D45:D56))</f>
        <v>607</v>
      </c>
      <c r="Q45" s="200">
        <f>P45*-MIN(D45:D56)</f>
        <v>-11994.320000000002</v>
      </c>
    </row>
    <row r="46" spans="1:17" hidden="1" x14ac:dyDescent="0.4">
      <c r="A46" s="198">
        <v>37315</v>
      </c>
      <c r="B46" s="177">
        <v>33.78</v>
      </c>
      <c r="C46" s="177">
        <v>38.869999999999997</v>
      </c>
      <c r="D46" s="177">
        <v>33.1</v>
      </c>
      <c r="E46" s="177">
        <v>38.4</v>
      </c>
      <c r="G46" s="200"/>
      <c r="H46" s="199">
        <f t="shared" si="10"/>
        <v>26</v>
      </c>
      <c r="I46" s="200">
        <f t="shared" si="11"/>
        <v>-998.4</v>
      </c>
      <c r="J46" s="199">
        <f t="shared" si="12"/>
        <v>25</v>
      </c>
      <c r="K46" s="200">
        <f t="shared" si="13"/>
        <v>-971.74999999999989</v>
      </c>
      <c r="L46" s="199">
        <f t="shared" si="14"/>
        <v>30</v>
      </c>
      <c r="M46" s="200">
        <f t="shared" si="15"/>
        <v>-993</v>
      </c>
      <c r="O46" s="200"/>
      <c r="Q46" s="200"/>
    </row>
    <row r="47" spans="1:17" hidden="1" x14ac:dyDescent="0.4">
      <c r="A47" s="198">
        <v>37346</v>
      </c>
      <c r="B47" s="177">
        <v>36.06</v>
      </c>
      <c r="C47" s="177">
        <v>39.18</v>
      </c>
      <c r="D47" s="177">
        <v>34.090000000000003</v>
      </c>
      <c r="E47" s="177">
        <v>34.19</v>
      </c>
      <c r="G47" s="200"/>
      <c r="H47" s="199">
        <f t="shared" si="10"/>
        <v>29</v>
      </c>
      <c r="I47" s="200">
        <f t="shared" si="11"/>
        <v>-991.51</v>
      </c>
      <c r="J47" s="199">
        <f t="shared" si="12"/>
        <v>25</v>
      </c>
      <c r="K47" s="200">
        <f t="shared" si="13"/>
        <v>-979.5</v>
      </c>
      <c r="L47" s="199">
        <f t="shared" si="14"/>
        <v>29</v>
      </c>
      <c r="M47" s="200">
        <f t="shared" si="15"/>
        <v>-988.61000000000013</v>
      </c>
      <c r="O47" s="200"/>
      <c r="Q47" s="200"/>
    </row>
    <row r="48" spans="1:17" hidden="1" x14ac:dyDescent="0.4">
      <c r="A48" s="198">
        <v>37376</v>
      </c>
      <c r="B48" s="177">
        <v>31.73</v>
      </c>
      <c r="C48" s="177">
        <v>36.89</v>
      </c>
      <c r="D48" s="177">
        <v>30.57</v>
      </c>
      <c r="E48" s="177">
        <v>35.81</v>
      </c>
      <c r="G48" s="200"/>
      <c r="H48" s="199">
        <f t="shared" si="10"/>
        <v>27</v>
      </c>
      <c r="I48" s="200">
        <f t="shared" si="11"/>
        <v>-966.87000000000012</v>
      </c>
      <c r="J48" s="199">
        <f t="shared" si="12"/>
        <v>27</v>
      </c>
      <c r="K48" s="200">
        <f t="shared" si="13"/>
        <v>-996.03</v>
      </c>
      <c r="L48" s="199">
        <f t="shared" si="14"/>
        <v>32</v>
      </c>
      <c r="M48" s="200">
        <f t="shared" si="15"/>
        <v>-978.24</v>
      </c>
      <c r="O48" s="200"/>
      <c r="Q48" s="200"/>
    </row>
    <row r="49" spans="1:17" hidden="1" x14ac:dyDescent="0.4">
      <c r="A49" s="198">
        <v>37407</v>
      </c>
      <c r="B49" s="177">
        <v>30.04</v>
      </c>
      <c r="C49" s="177">
        <v>33.630000000000003</v>
      </c>
      <c r="D49" s="177">
        <v>28.44</v>
      </c>
      <c r="E49" s="177">
        <v>31.69</v>
      </c>
      <c r="G49" s="200"/>
      <c r="H49" s="199">
        <f t="shared" si="10"/>
        <v>31</v>
      </c>
      <c r="I49" s="200">
        <f t="shared" si="11"/>
        <v>-982.39</v>
      </c>
      <c r="J49" s="199">
        <f t="shared" si="12"/>
        <v>29</v>
      </c>
      <c r="K49" s="200">
        <f t="shared" si="13"/>
        <v>-975.2700000000001</v>
      </c>
      <c r="L49" s="199">
        <f t="shared" si="14"/>
        <v>35</v>
      </c>
      <c r="M49" s="200">
        <f t="shared" si="15"/>
        <v>-995.40000000000009</v>
      </c>
      <c r="O49" s="200"/>
      <c r="Q49" s="200"/>
    </row>
    <row r="50" spans="1:17" hidden="1" x14ac:dyDescent="0.4">
      <c r="A50" s="198">
        <v>37437</v>
      </c>
      <c r="B50" s="177">
        <v>26.07</v>
      </c>
      <c r="C50" s="177">
        <v>30.23</v>
      </c>
      <c r="D50" s="177">
        <v>24.4</v>
      </c>
      <c r="E50" s="177">
        <v>29.97</v>
      </c>
      <c r="G50" s="200"/>
      <c r="H50" s="199">
        <f t="shared" si="10"/>
        <v>33</v>
      </c>
      <c r="I50" s="200">
        <f t="shared" si="11"/>
        <v>-989.01</v>
      </c>
      <c r="J50" s="199">
        <f t="shared" si="12"/>
        <v>33</v>
      </c>
      <c r="K50" s="200">
        <f t="shared" si="13"/>
        <v>-997.59</v>
      </c>
      <c r="L50" s="199">
        <f t="shared" si="14"/>
        <v>40</v>
      </c>
      <c r="M50" s="200">
        <f t="shared" si="15"/>
        <v>-976</v>
      </c>
      <c r="O50" s="200"/>
      <c r="Q50" s="200"/>
    </row>
    <row r="51" spans="1:17" hidden="1" x14ac:dyDescent="0.4">
      <c r="A51" s="198">
        <v>37468</v>
      </c>
      <c r="B51" s="177">
        <v>23.85</v>
      </c>
      <c r="C51" s="177">
        <v>26.51</v>
      </c>
      <c r="D51" s="177">
        <v>21.68</v>
      </c>
      <c r="E51" s="177">
        <v>25.98</v>
      </c>
      <c r="G51" s="200"/>
      <c r="H51" s="199">
        <f t="shared" si="10"/>
        <v>38</v>
      </c>
      <c r="I51" s="200">
        <f t="shared" si="11"/>
        <v>-987.24</v>
      </c>
      <c r="J51" s="199">
        <f t="shared" si="12"/>
        <v>37</v>
      </c>
      <c r="K51" s="200">
        <f t="shared" si="13"/>
        <v>-980.87</v>
      </c>
      <c r="L51" s="199">
        <f t="shared" si="14"/>
        <v>46</v>
      </c>
      <c r="M51" s="200">
        <f t="shared" si="15"/>
        <v>-997.28</v>
      </c>
      <c r="O51" s="200"/>
      <c r="Q51" s="200"/>
    </row>
    <row r="52" spans="1:17" hidden="1" x14ac:dyDescent="0.4">
      <c r="A52" s="198">
        <v>37499</v>
      </c>
      <c r="B52" s="177">
        <v>23.49</v>
      </c>
      <c r="C52" s="177">
        <v>26.21</v>
      </c>
      <c r="D52" s="177">
        <v>21.3</v>
      </c>
      <c r="E52" s="177">
        <v>23.78</v>
      </c>
      <c r="G52" s="200"/>
      <c r="H52" s="199">
        <f t="shared" si="10"/>
        <v>42</v>
      </c>
      <c r="I52" s="200">
        <f t="shared" si="11"/>
        <v>-998.76</v>
      </c>
      <c r="J52" s="199">
        <f t="shared" si="12"/>
        <v>38</v>
      </c>
      <c r="K52" s="200">
        <f t="shared" si="13"/>
        <v>-995.98</v>
      </c>
      <c r="L52" s="199">
        <f t="shared" si="14"/>
        <v>46</v>
      </c>
      <c r="M52" s="200">
        <f t="shared" si="15"/>
        <v>-979.80000000000007</v>
      </c>
      <c r="O52" s="200"/>
      <c r="Q52" s="200"/>
    </row>
    <row r="53" spans="1:17" hidden="1" x14ac:dyDescent="0.4">
      <c r="A53" s="198">
        <v>37529</v>
      </c>
      <c r="B53" s="177">
        <v>20.72</v>
      </c>
      <c r="C53" s="177">
        <v>24.35</v>
      </c>
      <c r="D53" s="177">
        <v>20.49</v>
      </c>
      <c r="E53" s="177">
        <v>23.01</v>
      </c>
      <c r="G53" s="200"/>
      <c r="H53" s="199">
        <f t="shared" si="10"/>
        <v>43</v>
      </c>
      <c r="I53" s="200">
        <f t="shared" si="11"/>
        <v>-989.43000000000006</v>
      </c>
      <c r="J53" s="199">
        <f t="shared" si="12"/>
        <v>41</v>
      </c>
      <c r="K53" s="200">
        <f t="shared" si="13"/>
        <v>-998.35</v>
      </c>
      <c r="L53" s="199">
        <f t="shared" si="14"/>
        <v>48</v>
      </c>
      <c r="M53" s="200">
        <f t="shared" si="15"/>
        <v>-983.52</v>
      </c>
      <c r="O53" s="200"/>
      <c r="Q53" s="200"/>
    </row>
    <row r="54" spans="1:17" hidden="1" x14ac:dyDescent="0.4">
      <c r="A54" s="198">
        <v>37560</v>
      </c>
      <c r="B54" s="177">
        <v>24.55</v>
      </c>
      <c r="C54" s="177">
        <v>25.04</v>
      </c>
      <c r="D54" s="177">
        <v>19.760000000000002</v>
      </c>
      <c r="E54" s="177">
        <v>20.95</v>
      </c>
      <c r="G54" s="200"/>
      <c r="H54" s="199">
        <f t="shared" si="10"/>
        <v>47</v>
      </c>
      <c r="I54" s="200">
        <f t="shared" si="11"/>
        <v>-984.65</v>
      </c>
      <c r="J54" s="199">
        <f t="shared" si="12"/>
        <v>39</v>
      </c>
      <c r="K54" s="200">
        <f t="shared" si="13"/>
        <v>-976.56</v>
      </c>
      <c r="L54" s="199">
        <f t="shared" si="14"/>
        <v>50</v>
      </c>
      <c r="M54" s="200">
        <f t="shared" si="15"/>
        <v>-988.00000000000011</v>
      </c>
      <c r="O54" s="200"/>
      <c r="Q54" s="200"/>
    </row>
    <row r="55" spans="1:17" hidden="1" x14ac:dyDescent="0.4">
      <c r="A55" s="198">
        <v>37590</v>
      </c>
      <c r="B55" s="177">
        <v>27.72</v>
      </c>
      <c r="C55" s="177">
        <v>29.7</v>
      </c>
      <c r="D55" s="177">
        <v>24.14</v>
      </c>
      <c r="E55" s="177">
        <v>24.41</v>
      </c>
      <c r="G55" s="200"/>
      <c r="H55" s="199">
        <f t="shared" si="10"/>
        <v>40</v>
      </c>
      <c r="I55" s="200">
        <f t="shared" si="11"/>
        <v>-976.4</v>
      </c>
      <c r="J55" s="199">
        <f t="shared" si="12"/>
        <v>33</v>
      </c>
      <c r="K55" s="200">
        <f t="shared" si="13"/>
        <v>-980.1</v>
      </c>
      <c r="L55" s="199">
        <f t="shared" si="14"/>
        <v>41</v>
      </c>
      <c r="M55" s="200">
        <f t="shared" si="15"/>
        <v>-989.74</v>
      </c>
      <c r="O55" s="200"/>
      <c r="Q55" s="200"/>
    </row>
    <row r="56" spans="1:17" hidden="1" x14ac:dyDescent="0.4">
      <c r="A56" s="198">
        <v>37621</v>
      </c>
      <c r="B56" s="177">
        <v>24.37</v>
      </c>
      <c r="C56" s="177">
        <v>28.79</v>
      </c>
      <c r="D56" s="177">
        <v>24.28</v>
      </c>
      <c r="E56" s="177">
        <v>28.49</v>
      </c>
      <c r="G56" s="200"/>
      <c r="H56" s="199">
        <f t="shared" si="10"/>
        <v>35</v>
      </c>
      <c r="I56" s="200">
        <f t="shared" si="11"/>
        <v>-997.15</v>
      </c>
      <c r="J56" s="199">
        <f t="shared" si="12"/>
        <v>34</v>
      </c>
      <c r="K56" s="200">
        <f t="shared" si="13"/>
        <v>-978.86</v>
      </c>
      <c r="L56" s="199">
        <f t="shared" si="14"/>
        <v>41</v>
      </c>
      <c r="M56" s="200">
        <f t="shared" si="15"/>
        <v>-995.48</v>
      </c>
      <c r="O56" s="200"/>
      <c r="Q56" s="200"/>
    </row>
    <row r="57" spans="1:17" hidden="1" x14ac:dyDescent="0.4">
      <c r="A57" s="198">
        <v>37652</v>
      </c>
      <c r="B57" s="177">
        <v>24.44</v>
      </c>
      <c r="C57" s="177">
        <v>27.47</v>
      </c>
      <c r="D57" s="177">
        <v>24.01</v>
      </c>
      <c r="E57" s="177">
        <v>24.75</v>
      </c>
      <c r="G57" s="200"/>
      <c r="H57" s="199">
        <f t="shared" si="10"/>
        <v>40</v>
      </c>
      <c r="I57" s="200">
        <f t="shared" si="11"/>
        <v>-990</v>
      </c>
      <c r="J57" s="199">
        <f t="shared" si="12"/>
        <v>36</v>
      </c>
      <c r="K57" s="200">
        <f t="shared" si="13"/>
        <v>-988.92</v>
      </c>
      <c r="L57" s="199">
        <f t="shared" si="14"/>
        <v>41</v>
      </c>
      <c r="M57" s="200">
        <f t="shared" si="15"/>
        <v>-984.41000000000008</v>
      </c>
      <c r="N57" s="199">
        <f>INT(N$1/MAX(C57:C68))</f>
        <v>327</v>
      </c>
      <c r="O57" s="200">
        <f>N57*-MAX(C57:C68)</f>
        <v>-11981.28</v>
      </c>
      <c r="P57" s="199">
        <f>INT(P$1/MIN(D57:D68))</f>
        <v>514</v>
      </c>
      <c r="Q57" s="200">
        <f>P57*-MIN(D57:D68)</f>
        <v>-11986.48</v>
      </c>
    </row>
    <row r="58" spans="1:17" hidden="1" x14ac:dyDescent="0.4">
      <c r="A58" s="198">
        <v>37680</v>
      </c>
      <c r="B58" s="177">
        <v>25.16</v>
      </c>
      <c r="C58" s="177">
        <v>25.37</v>
      </c>
      <c r="D58" s="177">
        <v>23.32</v>
      </c>
      <c r="E58" s="177">
        <v>24.55</v>
      </c>
      <c r="G58" s="200"/>
      <c r="H58" s="199">
        <f t="shared" si="10"/>
        <v>40</v>
      </c>
      <c r="I58" s="200">
        <f t="shared" si="11"/>
        <v>-982</v>
      </c>
      <c r="J58" s="199">
        <f t="shared" si="12"/>
        <v>39</v>
      </c>
      <c r="K58" s="200">
        <f t="shared" si="13"/>
        <v>-989.43000000000006</v>
      </c>
      <c r="L58" s="199">
        <f t="shared" si="14"/>
        <v>42</v>
      </c>
      <c r="M58" s="200">
        <f t="shared" si="15"/>
        <v>-979.44</v>
      </c>
      <c r="O58" s="200"/>
      <c r="Q58" s="200"/>
    </row>
    <row r="59" spans="1:17" hidden="1" x14ac:dyDescent="0.4">
      <c r="A59" s="198">
        <v>37711</v>
      </c>
      <c r="B59" s="177">
        <v>26.08</v>
      </c>
      <c r="C59" s="177">
        <v>27.76</v>
      </c>
      <c r="D59" s="177">
        <v>23.54</v>
      </c>
      <c r="E59" s="177">
        <v>25.28</v>
      </c>
      <c r="G59" s="200"/>
      <c r="H59" s="199">
        <f t="shared" si="10"/>
        <v>39</v>
      </c>
      <c r="I59" s="200">
        <f t="shared" si="11"/>
        <v>-985.92000000000007</v>
      </c>
      <c r="J59" s="199">
        <f t="shared" si="12"/>
        <v>36</v>
      </c>
      <c r="K59" s="200">
        <f t="shared" si="13"/>
        <v>-999.36</v>
      </c>
      <c r="L59" s="199">
        <f t="shared" si="14"/>
        <v>42</v>
      </c>
      <c r="M59" s="200">
        <f t="shared" si="15"/>
        <v>-988.68</v>
      </c>
      <c r="O59" s="200"/>
      <c r="Q59" s="200"/>
    </row>
    <row r="60" spans="1:17" hidden="1" x14ac:dyDescent="0.4">
      <c r="A60" s="198">
        <v>37741</v>
      </c>
      <c r="B60" s="177">
        <v>27.45</v>
      </c>
      <c r="C60" s="177">
        <v>28.06</v>
      </c>
      <c r="D60" s="177">
        <v>25.16</v>
      </c>
      <c r="E60" s="177">
        <v>25.47</v>
      </c>
      <c r="G60" s="200"/>
      <c r="H60" s="199">
        <f t="shared" si="10"/>
        <v>39</v>
      </c>
      <c r="I60" s="200">
        <f t="shared" si="11"/>
        <v>-993.32999999999993</v>
      </c>
      <c r="J60" s="199">
        <f t="shared" si="12"/>
        <v>35</v>
      </c>
      <c r="K60" s="200">
        <f t="shared" si="13"/>
        <v>-982.09999999999991</v>
      </c>
      <c r="L60" s="199">
        <f t="shared" si="14"/>
        <v>39</v>
      </c>
      <c r="M60" s="200">
        <f t="shared" si="15"/>
        <v>-981.24</v>
      </c>
      <c r="O60" s="200"/>
      <c r="Q60" s="200"/>
    </row>
    <row r="61" spans="1:17" hidden="1" x14ac:dyDescent="0.4">
      <c r="A61" s="198">
        <v>37772</v>
      </c>
      <c r="B61" s="177">
        <v>29.79</v>
      </c>
      <c r="C61" s="177">
        <v>29.87</v>
      </c>
      <c r="D61" s="177">
        <v>27.19</v>
      </c>
      <c r="E61" s="177">
        <v>27.44</v>
      </c>
      <c r="G61" s="200"/>
      <c r="H61" s="199">
        <f t="shared" si="10"/>
        <v>36</v>
      </c>
      <c r="I61" s="200">
        <f t="shared" si="11"/>
        <v>-987.84</v>
      </c>
      <c r="J61" s="199">
        <f t="shared" si="12"/>
        <v>33</v>
      </c>
      <c r="K61" s="200">
        <f t="shared" si="13"/>
        <v>-985.71</v>
      </c>
      <c r="L61" s="199">
        <f t="shared" si="14"/>
        <v>36</v>
      </c>
      <c r="M61" s="200">
        <f t="shared" si="15"/>
        <v>-978.84</v>
      </c>
      <c r="O61" s="200"/>
      <c r="Q61" s="200"/>
    </row>
    <row r="62" spans="1:17" hidden="1" x14ac:dyDescent="0.4">
      <c r="A62" s="198">
        <v>37802</v>
      </c>
      <c r="B62" s="177">
        <v>29.95</v>
      </c>
      <c r="C62" s="177">
        <v>31.47</v>
      </c>
      <c r="D62" s="177">
        <v>28.66</v>
      </c>
      <c r="E62" s="177">
        <v>30.08</v>
      </c>
      <c r="G62" s="200"/>
      <c r="H62" s="199">
        <f t="shared" si="10"/>
        <v>33</v>
      </c>
      <c r="I62" s="200">
        <f t="shared" si="11"/>
        <v>-992.64</v>
      </c>
      <c r="J62" s="199">
        <f t="shared" si="12"/>
        <v>31</v>
      </c>
      <c r="K62" s="200">
        <f t="shared" si="13"/>
        <v>-975.56999999999994</v>
      </c>
      <c r="L62" s="199">
        <f t="shared" si="14"/>
        <v>34</v>
      </c>
      <c r="M62" s="200">
        <f t="shared" si="15"/>
        <v>-974.44</v>
      </c>
      <c r="O62" s="200"/>
      <c r="Q62" s="200"/>
    </row>
    <row r="63" spans="1:17" hidden="1" x14ac:dyDescent="0.4">
      <c r="A63" s="198">
        <v>37833</v>
      </c>
      <c r="B63" s="177">
        <v>31.8</v>
      </c>
      <c r="C63" s="177">
        <v>32.75</v>
      </c>
      <c r="D63" s="177">
        <v>29.26</v>
      </c>
      <c r="E63" s="177">
        <v>29.7</v>
      </c>
      <c r="G63" s="200"/>
      <c r="H63" s="199">
        <f t="shared" si="10"/>
        <v>33</v>
      </c>
      <c r="I63" s="200">
        <f t="shared" si="11"/>
        <v>-980.1</v>
      </c>
      <c r="J63" s="199">
        <f t="shared" si="12"/>
        <v>30</v>
      </c>
      <c r="K63" s="200">
        <f t="shared" si="13"/>
        <v>-982.5</v>
      </c>
      <c r="L63" s="199">
        <f t="shared" si="14"/>
        <v>34</v>
      </c>
      <c r="M63" s="200">
        <f t="shared" si="15"/>
        <v>-994.84</v>
      </c>
      <c r="O63" s="200"/>
      <c r="Q63" s="200"/>
    </row>
    <row r="64" spans="1:17" hidden="1" x14ac:dyDescent="0.4">
      <c r="A64" s="198">
        <v>37864</v>
      </c>
      <c r="B64" s="177">
        <v>33.39</v>
      </c>
      <c r="C64" s="177">
        <v>33.46</v>
      </c>
      <c r="D64" s="177">
        <v>29.93</v>
      </c>
      <c r="E64" s="177">
        <v>31.68</v>
      </c>
      <c r="G64" s="200"/>
      <c r="H64" s="199">
        <f t="shared" si="10"/>
        <v>31</v>
      </c>
      <c r="I64" s="200">
        <f t="shared" si="11"/>
        <v>-982.08</v>
      </c>
      <c r="J64" s="199">
        <f t="shared" si="12"/>
        <v>29</v>
      </c>
      <c r="K64" s="200">
        <f t="shared" si="13"/>
        <v>-970.34</v>
      </c>
      <c r="L64" s="199">
        <f t="shared" si="14"/>
        <v>33</v>
      </c>
      <c r="M64" s="200">
        <f t="shared" si="15"/>
        <v>-987.68999999999994</v>
      </c>
      <c r="O64" s="200"/>
      <c r="Q64" s="200"/>
    </row>
    <row r="65" spans="1:17" hidden="1" x14ac:dyDescent="0.4">
      <c r="A65" s="198">
        <v>37894</v>
      </c>
      <c r="B65" s="177">
        <v>32.42</v>
      </c>
      <c r="C65" s="177">
        <v>34.86</v>
      </c>
      <c r="D65" s="177">
        <v>32.36</v>
      </c>
      <c r="E65" s="177">
        <v>33.53</v>
      </c>
      <c r="G65" s="200"/>
      <c r="H65" s="199">
        <f t="shared" si="10"/>
        <v>29</v>
      </c>
      <c r="I65" s="200">
        <f t="shared" si="11"/>
        <v>-972.37</v>
      </c>
      <c r="J65" s="199">
        <f t="shared" si="12"/>
        <v>28</v>
      </c>
      <c r="K65" s="200">
        <f t="shared" si="13"/>
        <v>-976.07999999999993</v>
      </c>
      <c r="L65" s="199">
        <f t="shared" si="14"/>
        <v>30</v>
      </c>
      <c r="M65" s="200">
        <f t="shared" si="15"/>
        <v>-970.8</v>
      </c>
      <c r="O65" s="200"/>
      <c r="Q65" s="200"/>
    </row>
    <row r="66" spans="1:17" hidden="1" x14ac:dyDescent="0.4">
      <c r="A66" s="198">
        <v>37925</v>
      </c>
      <c r="B66" s="177">
        <v>35.18</v>
      </c>
      <c r="C66" s="177">
        <v>36</v>
      </c>
      <c r="D66" s="177">
        <v>32.42</v>
      </c>
      <c r="E66" s="177">
        <v>32.61</v>
      </c>
      <c r="G66" s="200"/>
      <c r="H66" s="199">
        <f t="shared" si="10"/>
        <v>30</v>
      </c>
      <c r="I66" s="200">
        <f t="shared" si="11"/>
        <v>-978.3</v>
      </c>
      <c r="J66" s="199">
        <f t="shared" si="12"/>
        <v>27</v>
      </c>
      <c r="K66" s="200">
        <f t="shared" si="13"/>
        <v>-972</v>
      </c>
      <c r="L66" s="199">
        <f t="shared" si="14"/>
        <v>30</v>
      </c>
      <c r="M66" s="200">
        <f t="shared" si="15"/>
        <v>-972.6</v>
      </c>
      <c r="O66" s="200"/>
      <c r="Q66" s="200"/>
    </row>
    <row r="67" spans="1:17" hidden="1" x14ac:dyDescent="0.4">
      <c r="A67" s="198">
        <v>37955</v>
      </c>
      <c r="B67" s="177">
        <v>35.380000000000003</v>
      </c>
      <c r="C67" s="177">
        <v>36.18</v>
      </c>
      <c r="D67" s="177">
        <v>33.729999999999997</v>
      </c>
      <c r="E67" s="177">
        <v>35.46</v>
      </c>
      <c r="G67" s="200"/>
      <c r="H67" s="199">
        <f t="shared" si="10"/>
        <v>28</v>
      </c>
      <c r="I67" s="200">
        <f t="shared" si="11"/>
        <v>-992.88</v>
      </c>
      <c r="J67" s="199">
        <f t="shared" si="12"/>
        <v>27</v>
      </c>
      <c r="K67" s="200">
        <f t="shared" si="13"/>
        <v>-976.86</v>
      </c>
      <c r="L67" s="199">
        <f t="shared" si="14"/>
        <v>29</v>
      </c>
      <c r="M67" s="200">
        <f t="shared" si="15"/>
        <v>-978.17</v>
      </c>
      <c r="O67" s="200"/>
      <c r="Q67" s="200"/>
    </row>
    <row r="68" spans="1:17" hidden="1" x14ac:dyDescent="0.4">
      <c r="A68" s="198">
        <v>37986</v>
      </c>
      <c r="B68" s="177">
        <v>36.46</v>
      </c>
      <c r="C68" s="177">
        <v>36.64</v>
      </c>
      <c r="D68" s="177">
        <v>34.130000000000003</v>
      </c>
      <c r="E68" s="177">
        <v>35.69</v>
      </c>
      <c r="G68" s="200"/>
      <c r="H68" s="199">
        <f t="shared" si="10"/>
        <v>28</v>
      </c>
      <c r="I68" s="200">
        <f t="shared" si="11"/>
        <v>-999.31999999999994</v>
      </c>
      <c r="J68" s="199">
        <f t="shared" si="12"/>
        <v>27</v>
      </c>
      <c r="K68" s="200">
        <f t="shared" si="13"/>
        <v>-989.28</v>
      </c>
      <c r="L68" s="199">
        <f t="shared" si="14"/>
        <v>29</v>
      </c>
      <c r="M68" s="200">
        <f t="shared" si="15"/>
        <v>-989.7700000000001</v>
      </c>
      <c r="O68" s="200"/>
      <c r="Q68" s="200"/>
    </row>
    <row r="69" spans="1:17" hidden="1" x14ac:dyDescent="0.4">
      <c r="A69" s="198">
        <v>38017</v>
      </c>
      <c r="B69" s="177">
        <v>37.07</v>
      </c>
      <c r="C69" s="177">
        <v>39</v>
      </c>
      <c r="D69" s="177">
        <v>36.22</v>
      </c>
      <c r="E69" s="177">
        <v>36.659999999999997</v>
      </c>
      <c r="G69" s="200"/>
      <c r="H69" s="199">
        <f t="shared" si="10"/>
        <v>27</v>
      </c>
      <c r="I69" s="200">
        <f t="shared" si="11"/>
        <v>-989.81999999999994</v>
      </c>
      <c r="J69" s="199">
        <f t="shared" si="12"/>
        <v>25</v>
      </c>
      <c r="K69" s="200">
        <f t="shared" si="13"/>
        <v>-975</v>
      </c>
      <c r="L69" s="199">
        <f t="shared" si="14"/>
        <v>27</v>
      </c>
      <c r="M69" s="200">
        <f t="shared" si="15"/>
        <v>-977.93999999999994</v>
      </c>
      <c r="N69" s="199">
        <f>INT(N$1/MAX(C69:C80))</f>
        <v>294</v>
      </c>
      <c r="O69" s="200">
        <f>N69*-MAX(C69:C80)</f>
        <v>-11959.92</v>
      </c>
      <c r="P69" s="199">
        <f>INT(P$1/MIN(D69:D80))</f>
        <v>375</v>
      </c>
      <c r="Q69" s="200">
        <f>P69*-MIN(D69:D80)</f>
        <v>-12000</v>
      </c>
    </row>
    <row r="70" spans="1:17" hidden="1" x14ac:dyDescent="0.4">
      <c r="A70" s="198">
        <v>38046</v>
      </c>
      <c r="B70" s="177">
        <v>36.57</v>
      </c>
      <c r="C70" s="177">
        <v>37.97</v>
      </c>
      <c r="D70" s="177">
        <v>35.9</v>
      </c>
      <c r="E70" s="177">
        <v>37.200000000000003</v>
      </c>
      <c r="G70" s="200"/>
      <c r="H70" s="199">
        <f t="shared" si="10"/>
        <v>26</v>
      </c>
      <c r="I70" s="200">
        <f t="shared" si="11"/>
        <v>-967.2</v>
      </c>
      <c r="J70" s="199">
        <f t="shared" si="12"/>
        <v>26</v>
      </c>
      <c r="K70" s="200">
        <f t="shared" si="13"/>
        <v>-987.22</v>
      </c>
      <c r="L70" s="199">
        <f t="shared" si="14"/>
        <v>27</v>
      </c>
      <c r="M70" s="200">
        <f t="shared" si="15"/>
        <v>-969.3</v>
      </c>
      <c r="O70" s="200"/>
      <c r="Q70" s="200"/>
    </row>
    <row r="71" spans="1:17" hidden="1" x14ac:dyDescent="0.4">
      <c r="A71" s="198">
        <v>38077</v>
      </c>
      <c r="B71" s="177">
        <v>35.840000000000003</v>
      </c>
      <c r="C71" s="177">
        <v>37.18</v>
      </c>
      <c r="D71" s="177">
        <v>34.01</v>
      </c>
      <c r="E71" s="177">
        <v>36.68</v>
      </c>
      <c r="G71" s="200"/>
      <c r="H71" s="199">
        <f t="shared" si="10"/>
        <v>27</v>
      </c>
      <c r="I71" s="200">
        <f t="shared" si="11"/>
        <v>-990.36</v>
      </c>
      <c r="J71" s="199">
        <f t="shared" si="12"/>
        <v>26</v>
      </c>
      <c r="K71" s="200">
        <f t="shared" si="13"/>
        <v>-966.68</v>
      </c>
      <c r="L71" s="199">
        <f t="shared" si="14"/>
        <v>29</v>
      </c>
      <c r="M71" s="200">
        <f t="shared" si="15"/>
        <v>-986.29</v>
      </c>
      <c r="O71" s="200"/>
      <c r="Q71" s="200"/>
    </row>
    <row r="72" spans="1:17" hidden="1" x14ac:dyDescent="0.4">
      <c r="A72" s="198">
        <v>38107</v>
      </c>
      <c r="B72" s="177">
        <v>34.770000000000003</v>
      </c>
      <c r="C72" s="177">
        <v>37.5</v>
      </c>
      <c r="D72" s="177">
        <v>34.72</v>
      </c>
      <c r="E72" s="177">
        <v>35.81</v>
      </c>
      <c r="G72" s="200"/>
      <c r="H72" s="199">
        <f t="shared" si="10"/>
        <v>27</v>
      </c>
      <c r="I72" s="200">
        <f t="shared" si="11"/>
        <v>-966.87000000000012</v>
      </c>
      <c r="J72" s="199">
        <f t="shared" si="12"/>
        <v>26</v>
      </c>
      <c r="K72" s="200">
        <f t="shared" si="13"/>
        <v>-975</v>
      </c>
      <c r="L72" s="199">
        <f t="shared" si="14"/>
        <v>28</v>
      </c>
      <c r="M72" s="200">
        <f t="shared" si="15"/>
        <v>-972.16</v>
      </c>
      <c r="O72" s="200"/>
      <c r="Q72" s="200"/>
    </row>
    <row r="73" spans="1:17" hidden="1" x14ac:dyDescent="0.4">
      <c r="A73" s="198">
        <v>38138</v>
      </c>
      <c r="B73" s="177">
        <v>36.549999999999997</v>
      </c>
      <c r="C73" s="177">
        <v>36.549999999999997</v>
      </c>
      <c r="D73" s="177">
        <v>34.11</v>
      </c>
      <c r="E73" s="177">
        <v>35</v>
      </c>
      <c r="G73" s="200"/>
      <c r="H73" s="199">
        <f t="shared" si="10"/>
        <v>28</v>
      </c>
      <c r="I73" s="200">
        <f t="shared" si="11"/>
        <v>-980</v>
      </c>
      <c r="J73" s="199">
        <f t="shared" si="12"/>
        <v>27</v>
      </c>
      <c r="K73" s="200">
        <f t="shared" si="13"/>
        <v>-986.84999999999991</v>
      </c>
      <c r="L73" s="199">
        <f t="shared" si="14"/>
        <v>29</v>
      </c>
      <c r="M73" s="200">
        <f t="shared" si="15"/>
        <v>-989.18999999999994</v>
      </c>
      <c r="O73" s="200"/>
      <c r="Q73" s="200"/>
    </row>
    <row r="74" spans="1:17" hidden="1" x14ac:dyDescent="0.4">
      <c r="A74" s="198">
        <v>38168</v>
      </c>
      <c r="B74" s="177">
        <v>37.74</v>
      </c>
      <c r="C74" s="177">
        <v>37.9</v>
      </c>
      <c r="D74" s="177">
        <v>35.82</v>
      </c>
      <c r="E74" s="177">
        <v>36.270000000000003</v>
      </c>
      <c r="G74" s="200"/>
      <c r="H74" s="199">
        <f t="shared" si="10"/>
        <v>27</v>
      </c>
      <c r="I74" s="200">
        <f t="shared" si="11"/>
        <v>-979.29000000000008</v>
      </c>
      <c r="J74" s="199">
        <f t="shared" si="12"/>
        <v>26</v>
      </c>
      <c r="K74" s="200">
        <f t="shared" si="13"/>
        <v>-985.4</v>
      </c>
      <c r="L74" s="199">
        <f t="shared" si="14"/>
        <v>27</v>
      </c>
      <c r="M74" s="200">
        <f t="shared" si="15"/>
        <v>-967.14</v>
      </c>
      <c r="O74" s="200"/>
      <c r="Q74" s="200"/>
    </row>
    <row r="75" spans="1:17" hidden="1" x14ac:dyDescent="0.4">
      <c r="A75" s="198">
        <v>38199</v>
      </c>
      <c r="B75" s="177">
        <v>34.89</v>
      </c>
      <c r="C75" s="177">
        <v>37.659999999999997</v>
      </c>
      <c r="D75" s="177">
        <v>33.700000000000003</v>
      </c>
      <c r="E75" s="177">
        <v>37.659999999999997</v>
      </c>
      <c r="G75" s="200"/>
      <c r="H75" s="199">
        <f t="shared" ref="H75:H138" si="18">INT(H$1/$E75)</f>
        <v>26</v>
      </c>
      <c r="I75" s="200">
        <f t="shared" ref="I75:I138" si="19">-H75*E75</f>
        <v>-979.15999999999985</v>
      </c>
      <c r="J75" s="199">
        <f t="shared" si="12"/>
        <v>26</v>
      </c>
      <c r="K75" s="200">
        <f t="shared" si="13"/>
        <v>-979.15999999999985</v>
      </c>
      <c r="L75" s="199">
        <f t="shared" si="14"/>
        <v>29</v>
      </c>
      <c r="M75" s="200">
        <f t="shared" si="15"/>
        <v>-977.30000000000007</v>
      </c>
      <c r="O75" s="200"/>
      <c r="Q75" s="200"/>
    </row>
    <row r="76" spans="1:17" hidden="1" x14ac:dyDescent="0.4">
      <c r="A76" s="198">
        <v>38230</v>
      </c>
      <c r="B76" s="177">
        <v>34.020000000000003</v>
      </c>
      <c r="C76" s="177">
        <v>35.020000000000003</v>
      </c>
      <c r="D76" s="177">
        <v>32</v>
      </c>
      <c r="E76" s="177">
        <v>34.61</v>
      </c>
      <c r="G76" s="200"/>
      <c r="H76" s="199">
        <f t="shared" si="18"/>
        <v>28</v>
      </c>
      <c r="I76" s="200">
        <f t="shared" si="19"/>
        <v>-969.07999999999993</v>
      </c>
      <c r="J76" s="199">
        <f t="shared" si="12"/>
        <v>28</v>
      </c>
      <c r="K76" s="200">
        <f t="shared" si="13"/>
        <v>-980.56000000000006</v>
      </c>
      <c r="L76" s="199">
        <f t="shared" si="14"/>
        <v>31</v>
      </c>
      <c r="M76" s="200">
        <f t="shared" si="15"/>
        <v>-992</v>
      </c>
      <c r="O76" s="200"/>
      <c r="Q76" s="200"/>
    </row>
    <row r="77" spans="1:17" hidden="1" x14ac:dyDescent="0.4">
      <c r="A77" s="198">
        <v>38260</v>
      </c>
      <c r="B77" s="177">
        <v>35.14</v>
      </c>
      <c r="C77" s="177">
        <v>35.85</v>
      </c>
      <c r="D77" s="177">
        <v>33.799999999999997</v>
      </c>
      <c r="E77" s="177">
        <v>33.93</v>
      </c>
      <c r="G77" s="200"/>
      <c r="H77" s="199">
        <f t="shared" si="18"/>
        <v>29</v>
      </c>
      <c r="I77" s="200">
        <f t="shared" si="19"/>
        <v>-983.97</v>
      </c>
      <c r="J77" s="199">
        <f t="shared" si="12"/>
        <v>27</v>
      </c>
      <c r="K77" s="200">
        <f t="shared" si="13"/>
        <v>-967.95</v>
      </c>
      <c r="L77" s="199">
        <f t="shared" si="14"/>
        <v>29</v>
      </c>
      <c r="M77" s="200">
        <f t="shared" si="15"/>
        <v>-980.19999999999993</v>
      </c>
      <c r="O77" s="200"/>
      <c r="Q77" s="200"/>
    </row>
    <row r="78" spans="1:17" hidden="1" x14ac:dyDescent="0.4">
      <c r="A78" s="198">
        <v>38291</v>
      </c>
      <c r="B78" s="177">
        <v>36.9</v>
      </c>
      <c r="C78" s="177">
        <v>37.24</v>
      </c>
      <c r="D78" s="177">
        <v>35.200000000000003</v>
      </c>
      <c r="E78" s="177">
        <v>35.450000000000003</v>
      </c>
      <c r="G78" s="200"/>
      <c r="H78" s="199">
        <f t="shared" si="18"/>
        <v>28</v>
      </c>
      <c r="I78" s="200">
        <f t="shared" si="19"/>
        <v>-992.60000000000014</v>
      </c>
      <c r="J78" s="199">
        <f t="shared" ref="J78:J141" si="20">INT(J$1/$C78)</f>
        <v>26</v>
      </c>
      <c r="K78" s="200">
        <f t="shared" ref="K78:K141" si="21">-J78*$C78</f>
        <v>-968.24</v>
      </c>
      <c r="L78" s="199">
        <f t="shared" si="14"/>
        <v>28</v>
      </c>
      <c r="M78" s="200">
        <f t="shared" si="15"/>
        <v>-985.60000000000014</v>
      </c>
      <c r="O78" s="200"/>
      <c r="Q78" s="200"/>
    </row>
    <row r="79" spans="1:17" hidden="1" x14ac:dyDescent="0.4">
      <c r="A79" s="198">
        <v>38321</v>
      </c>
      <c r="B79" s="177">
        <v>39.119999999999997</v>
      </c>
      <c r="C79" s="177">
        <v>39.64</v>
      </c>
      <c r="D79" s="177">
        <v>36.799999999999997</v>
      </c>
      <c r="E79" s="177">
        <v>36.979999999999997</v>
      </c>
      <c r="G79" s="200"/>
      <c r="H79" s="199">
        <f t="shared" si="18"/>
        <v>27</v>
      </c>
      <c r="I79" s="200">
        <f t="shared" si="19"/>
        <v>-998.45999999999992</v>
      </c>
      <c r="J79" s="199">
        <f t="shared" si="20"/>
        <v>25</v>
      </c>
      <c r="K79" s="200">
        <f t="shared" si="21"/>
        <v>-991</v>
      </c>
      <c r="L79" s="199">
        <f t="shared" ref="L79:L142" si="22">INT(L$1/$D79)</f>
        <v>27</v>
      </c>
      <c r="M79" s="200">
        <f t="shared" ref="M79:M142" si="23">-L79*$D79</f>
        <v>-993.59999999999991</v>
      </c>
      <c r="O79" s="200"/>
      <c r="Q79" s="200"/>
    </row>
    <row r="80" spans="1:17" hidden="1" x14ac:dyDescent="0.4">
      <c r="A80" s="198">
        <v>38352</v>
      </c>
      <c r="B80" s="177">
        <v>39.92</v>
      </c>
      <c r="C80" s="177">
        <v>40.68</v>
      </c>
      <c r="D80" s="177">
        <v>37.21</v>
      </c>
      <c r="E80" s="177">
        <v>39.270000000000003</v>
      </c>
      <c r="G80" s="200"/>
      <c r="H80" s="199">
        <f t="shared" si="18"/>
        <v>25</v>
      </c>
      <c r="I80" s="200">
        <f t="shared" si="19"/>
        <v>-981.75000000000011</v>
      </c>
      <c r="J80" s="199">
        <f t="shared" si="20"/>
        <v>24</v>
      </c>
      <c r="K80" s="200">
        <f t="shared" si="21"/>
        <v>-976.31999999999994</v>
      </c>
      <c r="L80" s="199">
        <f t="shared" si="22"/>
        <v>26</v>
      </c>
      <c r="M80" s="200">
        <f t="shared" si="23"/>
        <v>-967.46</v>
      </c>
      <c r="O80" s="200"/>
      <c r="Q80" s="200"/>
    </row>
    <row r="81" spans="1:17" hidden="1" x14ac:dyDescent="0.4">
      <c r="A81" s="198">
        <v>38383</v>
      </c>
      <c r="B81" s="177">
        <v>37.4</v>
      </c>
      <c r="C81" s="177">
        <v>40.29</v>
      </c>
      <c r="D81" s="177">
        <v>36.46</v>
      </c>
      <c r="E81" s="177">
        <v>40.08</v>
      </c>
      <c r="G81" s="200"/>
      <c r="H81" s="199">
        <f t="shared" si="18"/>
        <v>24</v>
      </c>
      <c r="I81" s="200">
        <f t="shared" si="19"/>
        <v>-961.92</v>
      </c>
      <c r="J81" s="199">
        <f t="shared" si="20"/>
        <v>24</v>
      </c>
      <c r="K81" s="200">
        <f t="shared" si="21"/>
        <v>-966.96</v>
      </c>
      <c r="L81" s="199">
        <f t="shared" si="22"/>
        <v>27</v>
      </c>
      <c r="M81" s="200">
        <f t="shared" si="23"/>
        <v>-984.42000000000007</v>
      </c>
      <c r="N81" s="199">
        <f>INT(N$1/MAX(C81:C92))</f>
        <v>283</v>
      </c>
      <c r="O81" s="200">
        <f>N81*-MAX(C81:C92)</f>
        <v>-11973.730000000001</v>
      </c>
      <c r="P81" s="199">
        <f>INT(P$1/MIN(D81:D92))</f>
        <v>349</v>
      </c>
      <c r="Q81" s="200">
        <f>P81*-MIN(D81:D92)</f>
        <v>-11988.15</v>
      </c>
    </row>
    <row r="82" spans="1:17" hidden="1" x14ac:dyDescent="0.4">
      <c r="A82" s="198">
        <v>38411</v>
      </c>
      <c r="B82" s="177">
        <v>37.22</v>
      </c>
      <c r="C82" s="177">
        <v>38.479999999999997</v>
      </c>
      <c r="D82" s="177">
        <v>36.700000000000003</v>
      </c>
      <c r="E82" s="177">
        <v>37.47</v>
      </c>
      <c r="G82" s="200"/>
      <c r="H82" s="199">
        <f t="shared" si="18"/>
        <v>26</v>
      </c>
      <c r="I82" s="200">
        <f t="shared" si="19"/>
        <v>-974.22</v>
      </c>
      <c r="J82" s="199">
        <f t="shared" si="20"/>
        <v>25</v>
      </c>
      <c r="K82" s="200">
        <f t="shared" si="21"/>
        <v>-961.99999999999989</v>
      </c>
      <c r="L82" s="199">
        <f t="shared" si="22"/>
        <v>27</v>
      </c>
      <c r="M82" s="200">
        <f t="shared" si="23"/>
        <v>-990.90000000000009</v>
      </c>
      <c r="O82" s="200"/>
      <c r="Q82" s="200"/>
    </row>
    <row r="83" spans="1:17" hidden="1" x14ac:dyDescent="0.4">
      <c r="A83" s="198">
        <v>38442</v>
      </c>
      <c r="B83" s="177">
        <v>36.57</v>
      </c>
      <c r="C83" s="177">
        <v>38.29</v>
      </c>
      <c r="D83" s="177">
        <v>35.94</v>
      </c>
      <c r="E83" s="177">
        <v>37.369999999999997</v>
      </c>
      <c r="G83" s="200"/>
      <c r="H83" s="199">
        <f t="shared" si="18"/>
        <v>26</v>
      </c>
      <c r="I83" s="200">
        <f t="shared" si="19"/>
        <v>-971.61999999999989</v>
      </c>
      <c r="J83" s="199">
        <f t="shared" si="20"/>
        <v>26</v>
      </c>
      <c r="K83" s="200">
        <f t="shared" si="21"/>
        <v>-995.54</v>
      </c>
      <c r="L83" s="199">
        <f t="shared" si="22"/>
        <v>27</v>
      </c>
      <c r="M83" s="200">
        <f t="shared" si="23"/>
        <v>-970.37999999999988</v>
      </c>
      <c r="O83" s="200"/>
      <c r="Q83" s="200"/>
    </row>
    <row r="84" spans="1:17" hidden="1" x14ac:dyDescent="0.4">
      <c r="A84" s="198">
        <v>38472</v>
      </c>
      <c r="B84" s="177">
        <v>34.979999999999997</v>
      </c>
      <c r="C84" s="177">
        <v>37.07</v>
      </c>
      <c r="D84" s="177">
        <v>34.35</v>
      </c>
      <c r="E84" s="177">
        <v>36.75</v>
      </c>
      <c r="G84" s="200"/>
      <c r="H84" s="199">
        <f t="shared" si="18"/>
        <v>27</v>
      </c>
      <c r="I84" s="200">
        <f t="shared" si="19"/>
        <v>-992.25</v>
      </c>
      <c r="J84" s="199">
        <f t="shared" si="20"/>
        <v>26</v>
      </c>
      <c r="K84" s="200">
        <f t="shared" si="21"/>
        <v>-963.82</v>
      </c>
      <c r="L84" s="199">
        <f t="shared" si="22"/>
        <v>29</v>
      </c>
      <c r="M84" s="200">
        <f t="shared" si="23"/>
        <v>-996.15000000000009</v>
      </c>
      <c r="O84" s="200"/>
      <c r="Q84" s="200"/>
    </row>
    <row r="85" spans="1:17" hidden="1" x14ac:dyDescent="0.4">
      <c r="A85" s="198">
        <v>38503</v>
      </c>
      <c r="B85" s="177">
        <v>38.08</v>
      </c>
      <c r="C85" s="177">
        <v>38.270000000000003</v>
      </c>
      <c r="D85" s="177">
        <v>34.89</v>
      </c>
      <c r="E85" s="177">
        <v>35.07</v>
      </c>
      <c r="G85" s="200"/>
      <c r="H85" s="199">
        <f t="shared" si="18"/>
        <v>28</v>
      </c>
      <c r="I85" s="200">
        <f t="shared" si="19"/>
        <v>-981.96</v>
      </c>
      <c r="J85" s="199">
        <f t="shared" si="20"/>
        <v>26</v>
      </c>
      <c r="K85" s="200">
        <f t="shared" si="21"/>
        <v>-995.0200000000001</v>
      </c>
      <c r="L85" s="199">
        <f t="shared" si="22"/>
        <v>28</v>
      </c>
      <c r="M85" s="200">
        <f t="shared" si="23"/>
        <v>-976.92000000000007</v>
      </c>
      <c r="O85" s="200"/>
      <c r="Q85" s="200"/>
    </row>
    <row r="86" spans="1:17" hidden="1" x14ac:dyDescent="0.4">
      <c r="A86" s="198">
        <v>38533</v>
      </c>
      <c r="B86" s="177">
        <v>36.979999999999997</v>
      </c>
      <c r="C86" s="177">
        <v>38.68</v>
      </c>
      <c r="D86" s="177">
        <v>36.700000000000003</v>
      </c>
      <c r="E86" s="177">
        <v>38.03</v>
      </c>
      <c r="G86" s="200"/>
      <c r="H86" s="199">
        <f t="shared" si="18"/>
        <v>26</v>
      </c>
      <c r="I86" s="200">
        <f t="shared" si="19"/>
        <v>-988.78</v>
      </c>
      <c r="J86" s="199">
        <f t="shared" si="20"/>
        <v>25</v>
      </c>
      <c r="K86" s="200">
        <f t="shared" si="21"/>
        <v>-967</v>
      </c>
      <c r="L86" s="199">
        <f t="shared" si="22"/>
        <v>27</v>
      </c>
      <c r="M86" s="200">
        <f t="shared" si="23"/>
        <v>-990.90000000000009</v>
      </c>
      <c r="O86" s="200"/>
      <c r="Q86" s="200"/>
    </row>
    <row r="87" spans="1:17" hidden="1" x14ac:dyDescent="0.4">
      <c r="A87" s="198">
        <v>38564</v>
      </c>
      <c r="B87" s="177">
        <v>39.58</v>
      </c>
      <c r="C87" s="177">
        <v>39.92</v>
      </c>
      <c r="D87" s="177">
        <v>36.1</v>
      </c>
      <c r="E87" s="177">
        <v>36.86</v>
      </c>
      <c r="G87" s="200"/>
      <c r="H87" s="199">
        <f t="shared" si="18"/>
        <v>27</v>
      </c>
      <c r="I87" s="200">
        <f t="shared" si="19"/>
        <v>-995.22</v>
      </c>
      <c r="J87" s="199">
        <f t="shared" si="20"/>
        <v>25</v>
      </c>
      <c r="K87" s="200">
        <f t="shared" si="21"/>
        <v>-998</v>
      </c>
      <c r="L87" s="199">
        <f t="shared" si="22"/>
        <v>27</v>
      </c>
      <c r="M87" s="200">
        <f t="shared" si="23"/>
        <v>-974.7</v>
      </c>
      <c r="O87" s="200"/>
      <c r="Q87" s="200"/>
    </row>
    <row r="88" spans="1:17" hidden="1" x14ac:dyDescent="0.4">
      <c r="A88" s="198">
        <v>38595</v>
      </c>
      <c r="B88" s="177">
        <v>38.979999999999997</v>
      </c>
      <c r="C88" s="177">
        <v>40.14</v>
      </c>
      <c r="D88" s="177">
        <v>38.270000000000003</v>
      </c>
      <c r="E88" s="177">
        <v>39.68</v>
      </c>
      <c r="G88" s="200"/>
      <c r="H88" s="199">
        <f t="shared" si="18"/>
        <v>25</v>
      </c>
      <c r="I88" s="200">
        <f t="shared" si="19"/>
        <v>-992</v>
      </c>
      <c r="J88" s="199">
        <f t="shared" si="20"/>
        <v>24</v>
      </c>
      <c r="K88" s="200">
        <f t="shared" si="21"/>
        <v>-963.36</v>
      </c>
      <c r="L88" s="199">
        <f t="shared" si="22"/>
        <v>26</v>
      </c>
      <c r="M88" s="200">
        <f t="shared" si="23"/>
        <v>-995.0200000000001</v>
      </c>
      <c r="O88" s="200"/>
      <c r="Q88" s="200"/>
    </row>
    <row r="89" spans="1:17" hidden="1" x14ac:dyDescent="0.4">
      <c r="A89" s="198">
        <v>38625</v>
      </c>
      <c r="B89" s="177">
        <v>39.46</v>
      </c>
      <c r="C89" s="177">
        <v>39.909999999999997</v>
      </c>
      <c r="D89" s="177">
        <v>38.409999999999997</v>
      </c>
      <c r="E89" s="177">
        <v>38.99</v>
      </c>
      <c r="G89" s="200"/>
      <c r="H89" s="199">
        <f t="shared" si="18"/>
        <v>25</v>
      </c>
      <c r="I89" s="200">
        <f t="shared" si="19"/>
        <v>-974.75</v>
      </c>
      <c r="J89" s="199">
        <f t="shared" si="20"/>
        <v>25</v>
      </c>
      <c r="K89" s="200">
        <f t="shared" si="21"/>
        <v>-997.74999999999989</v>
      </c>
      <c r="L89" s="199">
        <f t="shared" si="22"/>
        <v>26</v>
      </c>
      <c r="M89" s="200">
        <f t="shared" si="23"/>
        <v>-998.65999999999985</v>
      </c>
      <c r="O89" s="200"/>
      <c r="Q89" s="200"/>
    </row>
    <row r="90" spans="1:17" hidden="1" x14ac:dyDescent="0.4">
      <c r="A90" s="198">
        <v>38656</v>
      </c>
      <c r="B90" s="177">
        <v>38.869999999999997</v>
      </c>
      <c r="C90" s="177">
        <v>39.880000000000003</v>
      </c>
      <c r="D90" s="177">
        <v>37.33</v>
      </c>
      <c r="E90" s="177">
        <v>39.549999999999997</v>
      </c>
      <c r="G90" s="200"/>
      <c r="H90" s="199">
        <f t="shared" si="18"/>
        <v>25</v>
      </c>
      <c r="I90" s="200">
        <f t="shared" si="19"/>
        <v>-988.74999999999989</v>
      </c>
      <c r="J90" s="199">
        <f t="shared" si="20"/>
        <v>25</v>
      </c>
      <c r="K90" s="200">
        <f t="shared" si="21"/>
        <v>-997.00000000000011</v>
      </c>
      <c r="L90" s="199">
        <f t="shared" si="22"/>
        <v>26</v>
      </c>
      <c r="M90" s="200">
        <f t="shared" si="23"/>
        <v>-970.57999999999993</v>
      </c>
      <c r="O90" s="200"/>
      <c r="Q90" s="200"/>
    </row>
    <row r="91" spans="1:17" hidden="1" x14ac:dyDescent="0.4">
      <c r="A91" s="198">
        <v>38686</v>
      </c>
      <c r="B91" s="177">
        <v>41.24</v>
      </c>
      <c r="C91" s="177">
        <v>42.02</v>
      </c>
      <c r="D91" s="177">
        <v>38.71</v>
      </c>
      <c r="E91" s="177">
        <v>38.76</v>
      </c>
      <c r="G91" s="200"/>
      <c r="H91" s="199">
        <f t="shared" si="18"/>
        <v>25</v>
      </c>
      <c r="I91" s="200">
        <f t="shared" si="19"/>
        <v>-969</v>
      </c>
      <c r="J91" s="199">
        <f t="shared" si="20"/>
        <v>23</v>
      </c>
      <c r="K91" s="200">
        <f t="shared" si="21"/>
        <v>-966.46</v>
      </c>
      <c r="L91" s="199">
        <f t="shared" si="22"/>
        <v>25</v>
      </c>
      <c r="M91" s="200">
        <f t="shared" si="23"/>
        <v>-967.75</v>
      </c>
      <c r="O91" s="200"/>
      <c r="Q91" s="200"/>
    </row>
    <row r="92" spans="1:17" hidden="1" x14ac:dyDescent="0.4">
      <c r="A92" s="198">
        <v>38717</v>
      </c>
      <c r="B92" s="177">
        <v>40.409999999999997</v>
      </c>
      <c r="C92" s="177">
        <v>42.31</v>
      </c>
      <c r="D92" s="177">
        <v>40.36</v>
      </c>
      <c r="E92" s="177">
        <v>41.51</v>
      </c>
      <c r="G92" s="200"/>
      <c r="H92" s="199">
        <f t="shared" si="18"/>
        <v>24</v>
      </c>
      <c r="I92" s="200">
        <f t="shared" si="19"/>
        <v>-996.24</v>
      </c>
      <c r="J92" s="199">
        <f t="shared" si="20"/>
        <v>23</v>
      </c>
      <c r="K92" s="200">
        <f t="shared" si="21"/>
        <v>-973.13000000000011</v>
      </c>
      <c r="L92" s="199">
        <f t="shared" si="22"/>
        <v>24</v>
      </c>
      <c r="M92" s="200">
        <f t="shared" si="23"/>
        <v>-968.64</v>
      </c>
      <c r="O92" s="200"/>
      <c r="Q92" s="200"/>
    </row>
    <row r="93" spans="1:17" hidden="1" x14ac:dyDescent="0.4">
      <c r="A93" s="198">
        <v>38748</v>
      </c>
      <c r="B93" s="177">
        <v>41.68</v>
      </c>
      <c r="C93" s="177">
        <v>43.31</v>
      </c>
      <c r="D93" s="177">
        <v>40.159999999999997</v>
      </c>
      <c r="E93" s="177">
        <v>40.64</v>
      </c>
      <c r="G93" s="200"/>
      <c r="H93" s="199">
        <f t="shared" si="18"/>
        <v>24</v>
      </c>
      <c r="I93" s="200">
        <f t="shared" si="19"/>
        <v>-975.36</v>
      </c>
      <c r="J93" s="199">
        <f t="shared" si="20"/>
        <v>23</v>
      </c>
      <c r="K93" s="200">
        <f t="shared" si="21"/>
        <v>-996.13000000000011</v>
      </c>
      <c r="L93" s="199">
        <f t="shared" si="22"/>
        <v>24</v>
      </c>
      <c r="M93" s="200">
        <f t="shared" si="23"/>
        <v>-963.83999999999992</v>
      </c>
      <c r="N93" s="199">
        <f>INT(N$1/MAX(C93:C104))</f>
        <v>268</v>
      </c>
      <c r="O93" s="200">
        <f>N93*-MAX(C93:C104)</f>
        <v>-11995.68</v>
      </c>
      <c r="P93" s="199">
        <f>INT(P$1/MIN(D93:D104))</f>
        <v>337</v>
      </c>
      <c r="Q93" s="200">
        <f>P93*-MIN(D93:D104)</f>
        <v>-11976.98</v>
      </c>
    </row>
    <row r="94" spans="1:17" hidden="1" x14ac:dyDescent="0.4">
      <c r="A94" s="198">
        <v>38776</v>
      </c>
      <c r="B94" s="177">
        <v>41.1</v>
      </c>
      <c r="C94" s="177">
        <v>42.12</v>
      </c>
      <c r="D94" s="177">
        <v>40.26</v>
      </c>
      <c r="E94" s="177">
        <v>42.12</v>
      </c>
      <c r="G94" s="200"/>
      <c r="H94" s="199">
        <f t="shared" si="18"/>
        <v>23</v>
      </c>
      <c r="I94" s="200">
        <f t="shared" si="19"/>
        <v>-968.76</v>
      </c>
      <c r="J94" s="199">
        <f t="shared" si="20"/>
        <v>23</v>
      </c>
      <c r="K94" s="200">
        <f t="shared" si="21"/>
        <v>-968.76</v>
      </c>
      <c r="L94" s="199">
        <f t="shared" si="22"/>
        <v>24</v>
      </c>
      <c r="M94" s="200">
        <f t="shared" si="23"/>
        <v>-966.24</v>
      </c>
      <c r="O94" s="200"/>
      <c r="Q94" s="200"/>
    </row>
    <row r="95" spans="1:17" hidden="1" x14ac:dyDescent="0.4">
      <c r="A95" s="198">
        <v>38807</v>
      </c>
      <c r="B95" s="177">
        <v>41.93</v>
      </c>
      <c r="C95" s="177">
        <v>42.3</v>
      </c>
      <c r="D95" s="177">
        <v>40.19</v>
      </c>
      <c r="E95" s="177">
        <v>41.22</v>
      </c>
      <c r="G95" s="200"/>
      <c r="H95" s="199">
        <f t="shared" si="18"/>
        <v>24</v>
      </c>
      <c r="I95" s="200">
        <f t="shared" si="19"/>
        <v>-989.28</v>
      </c>
      <c r="J95" s="199">
        <f t="shared" si="20"/>
        <v>23</v>
      </c>
      <c r="K95" s="200">
        <f t="shared" si="21"/>
        <v>-972.9</v>
      </c>
      <c r="L95" s="199">
        <f t="shared" si="22"/>
        <v>24</v>
      </c>
      <c r="M95" s="200">
        <f t="shared" si="23"/>
        <v>-964.56</v>
      </c>
      <c r="O95" s="200"/>
      <c r="Q95" s="200"/>
    </row>
    <row r="96" spans="1:17" hidden="1" x14ac:dyDescent="0.4">
      <c r="A96" s="198">
        <v>38837</v>
      </c>
      <c r="B96" s="177">
        <v>41.85</v>
      </c>
      <c r="C96" s="177">
        <v>43.05</v>
      </c>
      <c r="D96" s="177">
        <v>41.39</v>
      </c>
      <c r="E96" s="177">
        <v>42.15</v>
      </c>
      <c r="G96" s="200"/>
      <c r="H96" s="199">
        <f t="shared" si="18"/>
        <v>23</v>
      </c>
      <c r="I96" s="200">
        <f t="shared" si="19"/>
        <v>-969.44999999999993</v>
      </c>
      <c r="J96" s="199">
        <f t="shared" si="20"/>
        <v>23</v>
      </c>
      <c r="K96" s="200">
        <f t="shared" si="21"/>
        <v>-990.15</v>
      </c>
      <c r="L96" s="199">
        <f t="shared" si="22"/>
        <v>24</v>
      </c>
      <c r="M96" s="200">
        <f t="shared" si="23"/>
        <v>-993.36</v>
      </c>
      <c r="O96" s="200"/>
      <c r="Q96" s="200"/>
    </row>
    <row r="97" spans="1:17" hidden="1" x14ac:dyDescent="0.4">
      <c r="A97" s="198">
        <v>38868</v>
      </c>
      <c r="B97" s="177">
        <v>38.82</v>
      </c>
      <c r="C97" s="177">
        <v>42.3</v>
      </c>
      <c r="D97" s="177">
        <v>38.229999999999997</v>
      </c>
      <c r="E97" s="177">
        <v>41.93</v>
      </c>
      <c r="G97" s="200"/>
      <c r="H97" s="199">
        <f t="shared" si="18"/>
        <v>23</v>
      </c>
      <c r="I97" s="200">
        <f t="shared" si="19"/>
        <v>-964.39</v>
      </c>
      <c r="J97" s="199">
        <f t="shared" si="20"/>
        <v>23</v>
      </c>
      <c r="K97" s="200">
        <f t="shared" si="21"/>
        <v>-972.9</v>
      </c>
      <c r="L97" s="199">
        <f t="shared" si="22"/>
        <v>26</v>
      </c>
      <c r="M97" s="200">
        <f t="shared" si="23"/>
        <v>-993.9799999999999</v>
      </c>
      <c r="O97" s="200"/>
      <c r="Q97" s="200"/>
    </row>
    <row r="98" spans="1:17" hidden="1" x14ac:dyDescent="0.4">
      <c r="A98" s="198">
        <v>38898</v>
      </c>
      <c r="B98" s="177">
        <v>38.770000000000003</v>
      </c>
      <c r="C98" s="177">
        <v>40</v>
      </c>
      <c r="D98" s="177">
        <v>37.159999999999997</v>
      </c>
      <c r="E98" s="177">
        <v>38.909999999999997</v>
      </c>
      <c r="G98" s="200"/>
      <c r="H98" s="199">
        <f t="shared" si="18"/>
        <v>25</v>
      </c>
      <c r="I98" s="200">
        <f t="shared" si="19"/>
        <v>-972.74999999999989</v>
      </c>
      <c r="J98" s="199">
        <f t="shared" si="20"/>
        <v>25</v>
      </c>
      <c r="K98" s="200">
        <f t="shared" si="21"/>
        <v>-1000</v>
      </c>
      <c r="L98" s="199">
        <f t="shared" si="22"/>
        <v>26</v>
      </c>
      <c r="M98" s="200">
        <f t="shared" si="23"/>
        <v>-966.15999999999985</v>
      </c>
      <c r="O98" s="200"/>
      <c r="Q98" s="200"/>
    </row>
    <row r="99" spans="1:17" hidden="1" x14ac:dyDescent="0.4">
      <c r="A99" s="198">
        <v>38929</v>
      </c>
      <c r="B99" s="177">
        <v>37.1</v>
      </c>
      <c r="C99" s="177">
        <v>38.68</v>
      </c>
      <c r="D99" s="177">
        <v>35.54</v>
      </c>
      <c r="E99" s="177">
        <v>38.64</v>
      </c>
      <c r="G99" s="200"/>
      <c r="H99" s="199">
        <f t="shared" si="18"/>
        <v>25</v>
      </c>
      <c r="I99" s="200">
        <f t="shared" si="19"/>
        <v>-966</v>
      </c>
      <c r="J99" s="199">
        <f t="shared" si="20"/>
        <v>25</v>
      </c>
      <c r="K99" s="200">
        <f t="shared" si="21"/>
        <v>-967</v>
      </c>
      <c r="L99" s="199">
        <f t="shared" si="22"/>
        <v>28</v>
      </c>
      <c r="M99" s="200">
        <f t="shared" si="23"/>
        <v>-995.12</v>
      </c>
      <c r="O99" s="200"/>
      <c r="Q99" s="200"/>
    </row>
    <row r="100" spans="1:17" hidden="1" x14ac:dyDescent="0.4">
      <c r="A100" s="198">
        <v>38960</v>
      </c>
      <c r="B100" s="177">
        <v>38.869999999999997</v>
      </c>
      <c r="C100" s="177">
        <v>39.03</v>
      </c>
      <c r="D100" s="177">
        <v>36.26</v>
      </c>
      <c r="E100" s="177">
        <v>36.79</v>
      </c>
      <c r="G100" s="200"/>
      <c r="H100" s="199">
        <f t="shared" si="18"/>
        <v>27</v>
      </c>
      <c r="I100" s="200">
        <f t="shared" si="19"/>
        <v>-993.32999999999993</v>
      </c>
      <c r="J100" s="199">
        <f t="shared" si="20"/>
        <v>25</v>
      </c>
      <c r="K100" s="200">
        <f t="shared" si="21"/>
        <v>-975.75</v>
      </c>
      <c r="L100" s="199">
        <f t="shared" si="22"/>
        <v>27</v>
      </c>
      <c r="M100" s="200">
        <f t="shared" si="23"/>
        <v>-979.02</v>
      </c>
      <c r="O100" s="200"/>
      <c r="Q100" s="200"/>
    </row>
    <row r="101" spans="1:17" hidden="1" x14ac:dyDescent="0.4">
      <c r="A101" s="198">
        <v>38990</v>
      </c>
      <c r="B101" s="177">
        <v>40.65</v>
      </c>
      <c r="C101" s="177">
        <v>40.950000000000003</v>
      </c>
      <c r="D101" s="177">
        <v>38.32</v>
      </c>
      <c r="E101" s="177">
        <v>39.07</v>
      </c>
      <c r="G101" s="200"/>
      <c r="H101" s="199">
        <f t="shared" si="18"/>
        <v>25</v>
      </c>
      <c r="I101" s="200">
        <f t="shared" si="19"/>
        <v>-976.75</v>
      </c>
      <c r="J101" s="199">
        <f t="shared" si="20"/>
        <v>24</v>
      </c>
      <c r="K101" s="200">
        <f t="shared" si="21"/>
        <v>-982.80000000000007</v>
      </c>
      <c r="L101" s="199">
        <f t="shared" si="22"/>
        <v>26</v>
      </c>
      <c r="M101" s="200">
        <f t="shared" si="23"/>
        <v>-996.32</v>
      </c>
      <c r="O101" s="200"/>
      <c r="Q101" s="200"/>
    </row>
    <row r="102" spans="1:17" hidden="1" x14ac:dyDescent="0.4">
      <c r="A102" s="198">
        <v>39021</v>
      </c>
      <c r="B102" s="177">
        <v>42.58</v>
      </c>
      <c r="C102" s="177">
        <v>42.92</v>
      </c>
      <c r="D102" s="177">
        <v>39.880000000000003</v>
      </c>
      <c r="E102" s="177">
        <v>40.6</v>
      </c>
      <c r="G102" s="200"/>
      <c r="H102" s="199">
        <f t="shared" si="18"/>
        <v>24</v>
      </c>
      <c r="I102" s="200">
        <f t="shared" si="19"/>
        <v>-974.40000000000009</v>
      </c>
      <c r="J102" s="199">
        <f t="shared" si="20"/>
        <v>23</v>
      </c>
      <c r="K102" s="200">
        <f t="shared" si="21"/>
        <v>-987.16000000000008</v>
      </c>
      <c r="L102" s="199">
        <f t="shared" si="22"/>
        <v>25</v>
      </c>
      <c r="M102" s="200">
        <f t="shared" si="23"/>
        <v>-997.00000000000011</v>
      </c>
      <c r="O102" s="200"/>
      <c r="Q102" s="200"/>
    </row>
    <row r="103" spans="1:17" hidden="1" x14ac:dyDescent="0.4">
      <c r="A103" s="198">
        <v>39051</v>
      </c>
      <c r="B103" s="177">
        <v>44.04</v>
      </c>
      <c r="C103" s="177">
        <v>44.75</v>
      </c>
      <c r="D103" s="177">
        <v>41.61</v>
      </c>
      <c r="E103" s="177">
        <v>42.73</v>
      </c>
      <c r="G103" s="200"/>
      <c r="H103" s="199">
        <f t="shared" si="18"/>
        <v>23</v>
      </c>
      <c r="I103" s="200">
        <f t="shared" si="19"/>
        <v>-982.79</v>
      </c>
      <c r="J103" s="199">
        <f t="shared" si="20"/>
        <v>22</v>
      </c>
      <c r="K103" s="200">
        <f t="shared" si="21"/>
        <v>-984.5</v>
      </c>
      <c r="L103" s="199">
        <f t="shared" si="22"/>
        <v>24</v>
      </c>
      <c r="M103" s="200">
        <f t="shared" si="23"/>
        <v>-998.64</v>
      </c>
      <c r="O103" s="200"/>
      <c r="Q103" s="200"/>
    </row>
    <row r="104" spans="1:17" hidden="1" x14ac:dyDescent="0.4">
      <c r="A104" s="198">
        <v>39082</v>
      </c>
      <c r="B104" s="177">
        <v>43.16</v>
      </c>
      <c r="C104" s="177">
        <v>44.76</v>
      </c>
      <c r="D104" s="177">
        <v>42.88</v>
      </c>
      <c r="E104" s="177">
        <v>44</v>
      </c>
      <c r="G104" s="200"/>
      <c r="H104" s="199">
        <f t="shared" si="18"/>
        <v>22</v>
      </c>
      <c r="I104" s="200">
        <f t="shared" si="19"/>
        <v>-968</v>
      </c>
      <c r="J104" s="199">
        <f t="shared" si="20"/>
        <v>22</v>
      </c>
      <c r="K104" s="200">
        <f t="shared" si="21"/>
        <v>-984.71999999999991</v>
      </c>
      <c r="L104" s="199">
        <f t="shared" si="22"/>
        <v>23</v>
      </c>
      <c r="M104" s="200">
        <f t="shared" si="23"/>
        <v>-986.24</v>
      </c>
      <c r="O104" s="200"/>
      <c r="Q104" s="200"/>
    </row>
    <row r="105" spans="1:17" hidden="1" x14ac:dyDescent="0.4">
      <c r="A105" s="198">
        <v>39113</v>
      </c>
      <c r="B105" s="177">
        <v>44.07</v>
      </c>
      <c r="C105" s="177">
        <v>45.4</v>
      </c>
      <c r="D105" s="177">
        <v>42.52</v>
      </c>
      <c r="E105" s="177">
        <v>43.46</v>
      </c>
      <c r="G105" s="200"/>
      <c r="H105" s="199">
        <f t="shared" si="18"/>
        <v>23</v>
      </c>
      <c r="I105" s="200">
        <f t="shared" si="19"/>
        <v>-999.58</v>
      </c>
      <c r="J105" s="199">
        <f t="shared" si="20"/>
        <v>22</v>
      </c>
      <c r="K105" s="200">
        <f t="shared" si="21"/>
        <v>-998.8</v>
      </c>
      <c r="L105" s="199">
        <f t="shared" si="22"/>
        <v>23</v>
      </c>
      <c r="M105" s="200">
        <f t="shared" si="23"/>
        <v>-977.96</v>
      </c>
      <c r="N105" s="199">
        <f>INT(N$1/MAX(C105:C116))</f>
        <v>217</v>
      </c>
      <c r="O105" s="200">
        <f>N105*-MAX(C105:C116)</f>
        <v>-11950.19</v>
      </c>
      <c r="P105" s="199">
        <f>INT(P$1/MIN(D105:D116))</f>
        <v>295</v>
      </c>
      <c r="Q105" s="200">
        <f>P105*-MIN(D105:D116)</f>
        <v>-11962.25</v>
      </c>
    </row>
    <row r="106" spans="1:17" hidden="1" x14ac:dyDescent="0.4">
      <c r="A106" s="198">
        <v>39141</v>
      </c>
      <c r="B106" s="177">
        <v>43.33</v>
      </c>
      <c r="C106" s="177">
        <v>45.55</v>
      </c>
      <c r="D106" s="177">
        <v>42.93</v>
      </c>
      <c r="E106" s="177">
        <v>44.28</v>
      </c>
      <c r="G106" s="200"/>
      <c r="H106" s="199">
        <f t="shared" si="18"/>
        <v>22</v>
      </c>
      <c r="I106" s="200">
        <f t="shared" si="19"/>
        <v>-974.16000000000008</v>
      </c>
      <c r="J106" s="199">
        <f t="shared" si="20"/>
        <v>21</v>
      </c>
      <c r="K106" s="200">
        <f t="shared" si="21"/>
        <v>-956.55</v>
      </c>
      <c r="L106" s="199">
        <f t="shared" si="22"/>
        <v>23</v>
      </c>
      <c r="M106" s="200">
        <f t="shared" si="23"/>
        <v>-987.39</v>
      </c>
      <c r="O106" s="200"/>
      <c r="Q106" s="200"/>
    </row>
    <row r="107" spans="1:17" hidden="1" x14ac:dyDescent="0.4">
      <c r="A107" s="198">
        <v>39172</v>
      </c>
      <c r="B107" s="177">
        <v>43.53</v>
      </c>
      <c r="C107" s="177">
        <v>44.45</v>
      </c>
      <c r="D107" s="177">
        <v>41.97</v>
      </c>
      <c r="E107" s="177">
        <v>43.02</v>
      </c>
      <c r="G107" s="200"/>
      <c r="H107" s="199">
        <f t="shared" si="18"/>
        <v>23</v>
      </c>
      <c r="I107" s="200">
        <f t="shared" si="19"/>
        <v>-989.46</v>
      </c>
      <c r="J107" s="199">
        <f t="shared" si="20"/>
        <v>22</v>
      </c>
      <c r="K107" s="200">
        <f t="shared" si="21"/>
        <v>-977.90000000000009</v>
      </c>
      <c r="L107" s="199">
        <f t="shared" si="22"/>
        <v>23</v>
      </c>
      <c r="M107" s="200">
        <f t="shared" si="23"/>
        <v>-965.31</v>
      </c>
      <c r="O107" s="200"/>
      <c r="Q107" s="200"/>
    </row>
    <row r="108" spans="1:17" hidden="1" x14ac:dyDescent="0.4">
      <c r="A108" s="198">
        <v>39202</v>
      </c>
      <c r="B108" s="177">
        <v>45.96</v>
      </c>
      <c r="C108" s="177">
        <v>46.7</v>
      </c>
      <c r="D108" s="177">
        <v>43.3</v>
      </c>
      <c r="E108" s="177">
        <v>43.71</v>
      </c>
      <c r="G108" s="200"/>
      <c r="H108" s="199">
        <f t="shared" si="18"/>
        <v>22</v>
      </c>
      <c r="I108" s="200">
        <f t="shared" si="19"/>
        <v>-961.62</v>
      </c>
      <c r="J108" s="199">
        <f t="shared" si="20"/>
        <v>21</v>
      </c>
      <c r="K108" s="200">
        <f t="shared" si="21"/>
        <v>-980.7</v>
      </c>
      <c r="L108" s="199">
        <f t="shared" si="22"/>
        <v>23</v>
      </c>
      <c r="M108" s="200">
        <f t="shared" si="23"/>
        <v>-995.9</v>
      </c>
      <c r="O108" s="200"/>
      <c r="Q108" s="200"/>
    </row>
    <row r="109" spans="1:17" hidden="1" x14ac:dyDescent="0.4">
      <c r="A109" s="198">
        <v>39233</v>
      </c>
      <c r="B109" s="177">
        <v>47.41</v>
      </c>
      <c r="C109" s="177">
        <v>47.52</v>
      </c>
      <c r="D109" s="177">
        <v>45.66</v>
      </c>
      <c r="E109" s="177">
        <v>46.03</v>
      </c>
      <c r="G109" s="200"/>
      <c r="H109" s="199">
        <f t="shared" si="18"/>
        <v>21</v>
      </c>
      <c r="I109" s="200">
        <f t="shared" si="19"/>
        <v>-966.63</v>
      </c>
      <c r="J109" s="199">
        <f t="shared" si="20"/>
        <v>21</v>
      </c>
      <c r="K109" s="200">
        <f t="shared" si="21"/>
        <v>-997.92000000000007</v>
      </c>
      <c r="L109" s="199">
        <f t="shared" si="22"/>
        <v>21</v>
      </c>
      <c r="M109" s="200">
        <f t="shared" si="23"/>
        <v>-958.8599999999999</v>
      </c>
      <c r="O109" s="200"/>
      <c r="Q109" s="200"/>
    </row>
    <row r="110" spans="1:17" hidden="1" x14ac:dyDescent="0.4">
      <c r="A110" s="198">
        <v>39263</v>
      </c>
      <c r="B110" s="177">
        <v>47.6</v>
      </c>
      <c r="C110" s="177">
        <v>47.92</v>
      </c>
      <c r="D110" s="177">
        <v>46.15</v>
      </c>
      <c r="E110" s="177">
        <v>47.54</v>
      </c>
      <c r="G110" s="200"/>
      <c r="H110" s="199">
        <f t="shared" si="18"/>
        <v>21</v>
      </c>
      <c r="I110" s="200">
        <f t="shared" si="19"/>
        <v>-998.34</v>
      </c>
      <c r="J110" s="199">
        <f t="shared" si="20"/>
        <v>20</v>
      </c>
      <c r="K110" s="200">
        <f t="shared" si="21"/>
        <v>-958.40000000000009</v>
      </c>
      <c r="L110" s="199">
        <f t="shared" si="22"/>
        <v>21</v>
      </c>
      <c r="M110" s="200">
        <f t="shared" si="23"/>
        <v>-969.15</v>
      </c>
      <c r="O110" s="200"/>
      <c r="Q110" s="200"/>
    </row>
    <row r="111" spans="1:17" hidden="1" x14ac:dyDescent="0.4">
      <c r="A111" s="198">
        <v>39294</v>
      </c>
      <c r="B111" s="177">
        <v>47.53</v>
      </c>
      <c r="C111" s="177">
        <v>50.66</v>
      </c>
      <c r="D111" s="177">
        <v>47.43</v>
      </c>
      <c r="E111" s="177">
        <v>47.59</v>
      </c>
      <c r="G111" s="200"/>
      <c r="H111" s="199">
        <f t="shared" si="18"/>
        <v>21</v>
      </c>
      <c r="I111" s="200">
        <f t="shared" si="19"/>
        <v>-999.3900000000001</v>
      </c>
      <c r="J111" s="199">
        <f t="shared" si="20"/>
        <v>19</v>
      </c>
      <c r="K111" s="200">
        <f t="shared" si="21"/>
        <v>-962.54</v>
      </c>
      <c r="L111" s="199">
        <f t="shared" si="22"/>
        <v>21</v>
      </c>
      <c r="M111" s="200">
        <f t="shared" si="23"/>
        <v>-996.03</v>
      </c>
      <c r="O111" s="200"/>
      <c r="Q111" s="200"/>
    </row>
    <row r="112" spans="1:17" hidden="1" x14ac:dyDescent="0.4">
      <c r="A112" s="198">
        <v>39325</v>
      </c>
      <c r="B112" s="177">
        <v>48.87</v>
      </c>
      <c r="C112" s="177">
        <v>49.06</v>
      </c>
      <c r="D112" s="177">
        <v>40.549999999999997</v>
      </c>
      <c r="E112" s="177">
        <v>47.29</v>
      </c>
      <c r="G112" s="200"/>
      <c r="H112" s="199">
        <f t="shared" si="18"/>
        <v>21</v>
      </c>
      <c r="I112" s="200">
        <f t="shared" si="19"/>
        <v>-993.09</v>
      </c>
      <c r="J112" s="199">
        <f t="shared" si="20"/>
        <v>20</v>
      </c>
      <c r="K112" s="200">
        <f t="shared" si="21"/>
        <v>-981.2</v>
      </c>
      <c r="L112" s="199">
        <f t="shared" si="22"/>
        <v>24</v>
      </c>
      <c r="M112" s="200">
        <f t="shared" si="23"/>
        <v>-973.19999999999993</v>
      </c>
      <c r="O112" s="200"/>
      <c r="Q112" s="200"/>
    </row>
    <row r="113" spans="1:17" hidden="1" x14ac:dyDescent="0.4">
      <c r="A113" s="198">
        <v>39355</v>
      </c>
      <c r="B113" s="177">
        <v>51.41</v>
      </c>
      <c r="C113" s="177">
        <v>52.77</v>
      </c>
      <c r="D113" s="177">
        <v>47.95</v>
      </c>
      <c r="E113" s="177">
        <v>48.84</v>
      </c>
      <c r="G113" s="200"/>
      <c r="H113" s="199">
        <f t="shared" si="18"/>
        <v>20</v>
      </c>
      <c r="I113" s="200">
        <f t="shared" si="19"/>
        <v>-976.80000000000007</v>
      </c>
      <c r="J113" s="199">
        <f t="shared" si="20"/>
        <v>18</v>
      </c>
      <c r="K113" s="200">
        <f t="shared" si="21"/>
        <v>-949.86</v>
      </c>
      <c r="L113" s="199">
        <f t="shared" si="22"/>
        <v>20</v>
      </c>
      <c r="M113" s="200">
        <f t="shared" si="23"/>
        <v>-959</v>
      </c>
      <c r="O113" s="200"/>
      <c r="Q113" s="200"/>
    </row>
    <row r="114" spans="1:17" hidden="1" x14ac:dyDescent="0.4">
      <c r="A114" s="198">
        <v>39386</v>
      </c>
      <c r="B114" s="177">
        <v>55.03</v>
      </c>
      <c r="C114" s="177">
        <v>55.07</v>
      </c>
      <c r="D114" s="177">
        <v>51.34</v>
      </c>
      <c r="E114" s="177">
        <v>51.43</v>
      </c>
      <c r="G114" s="200"/>
      <c r="H114" s="199">
        <f t="shared" si="18"/>
        <v>19</v>
      </c>
      <c r="I114" s="200">
        <f t="shared" si="19"/>
        <v>-977.17</v>
      </c>
      <c r="J114" s="199">
        <f t="shared" si="20"/>
        <v>18</v>
      </c>
      <c r="K114" s="200">
        <f t="shared" si="21"/>
        <v>-991.26</v>
      </c>
      <c r="L114" s="199">
        <f t="shared" si="22"/>
        <v>19</v>
      </c>
      <c r="M114" s="200">
        <f t="shared" si="23"/>
        <v>-975.46</v>
      </c>
      <c r="O114" s="200"/>
      <c r="Q114" s="200"/>
    </row>
    <row r="115" spans="1:17" hidden="1" x14ac:dyDescent="0.4">
      <c r="A115" s="198">
        <v>39416</v>
      </c>
      <c r="B115" s="177">
        <v>51.31</v>
      </c>
      <c r="C115" s="177">
        <v>54.99</v>
      </c>
      <c r="D115" s="177">
        <v>48.65</v>
      </c>
      <c r="E115" s="177">
        <v>54.99</v>
      </c>
      <c r="G115" s="200"/>
      <c r="H115" s="199">
        <f t="shared" si="18"/>
        <v>18</v>
      </c>
      <c r="I115" s="200">
        <f t="shared" si="19"/>
        <v>-989.82</v>
      </c>
      <c r="J115" s="199">
        <f t="shared" si="20"/>
        <v>18</v>
      </c>
      <c r="K115" s="200">
        <f t="shared" si="21"/>
        <v>-989.82</v>
      </c>
      <c r="L115" s="199">
        <f t="shared" si="22"/>
        <v>20</v>
      </c>
      <c r="M115" s="200">
        <f t="shared" si="23"/>
        <v>-973</v>
      </c>
      <c r="O115" s="200"/>
      <c r="Q115" s="200"/>
    </row>
    <row r="116" spans="1:17" hidden="1" x14ac:dyDescent="0.4">
      <c r="A116" s="198">
        <v>39447</v>
      </c>
      <c r="B116" s="177">
        <v>51.22</v>
      </c>
      <c r="C116" s="177">
        <v>52.84</v>
      </c>
      <c r="D116" s="177">
        <v>49.61</v>
      </c>
      <c r="E116" s="177">
        <v>51.09</v>
      </c>
      <c r="G116" s="200"/>
      <c r="H116" s="199">
        <f t="shared" si="18"/>
        <v>19</v>
      </c>
      <c r="I116" s="200">
        <f t="shared" si="19"/>
        <v>-970.71</v>
      </c>
      <c r="J116" s="199">
        <f t="shared" si="20"/>
        <v>18</v>
      </c>
      <c r="K116" s="200">
        <f t="shared" si="21"/>
        <v>-951.12000000000012</v>
      </c>
      <c r="L116" s="199">
        <f t="shared" si="22"/>
        <v>20</v>
      </c>
      <c r="M116" s="200">
        <f t="shared" si="23"/>
        <v>-992.2</v>
      </c>
      <c r="O116" s="200"/>
      <c r="Q116" s="200"/>
    </row>
    <row r="117" spans="1:17" hidden="1" x14ac:dyDescent="0.4">
      <c r="A117" s="198">
        <v>39478</v>
      </c>
      <c r="B117" s="177">
        <v>45.13</v>
      </c>
      <c r="C117" s="177">
        <v>51.47</v>
      </c>
      <c r="D117" s="177">
        <v>41.61</v>
      </c>
      <c r="E117" s="177">
        <v>51.27</v>
      </c>
      <c r="G117" s="200"/>
      <c r="H117" s="199">
        <f t="shared" si="18"/>
        <v>19</v>
      </c>
      <c r="I117" s="200">
        <f t="shared" si="19"/>
        <v>-974.13000000000011</v>
      </c>
      <c r="J117" s="199">
        <f t="shared" si="20"/>
        <v>19</v>
      </c>
      <c r="K117" s="200">
        <f t="shared" si="21"/>
        <v>-977.93</v>
      </c>
      <c r="L117" s="199">
        <f t="shared" si="22"/>
        <v>24</v>
      </c>
      <c r="M117" s="200">
        <f t="shared" si="23"/>
        <v>-998.64</v>
      </c>
      <c r="N117" s="199">
        <f>INT(N$1/MAX(C117:C128))</f>
        <v>233</v>
      </c>
      <c r="O117" s="200">
        <f>N117*-MAX(C117:C128)</f>
        <v>-11992.51</v>
      </c>
      <c r="P117" s="199">
        <f>INT(P$1/MIN(D117:D128))</f>
        <v>479</v>
      </c>
      <c r="Q117" s="200">
        <f>P117*-MIN(D117:D128)</f>
        <v>-11998.95</v>
      </c>
    </row>
    <row r="118" spans="1:17" hidden="1" x14ac:dyDescent="0.4">
      <c r="A118" s="198">
        <v>39507</v>
      </c>
      <c r="B118" s="177">
        <v>42.95</v>
      </c>
      <c r="C118" s="177">
        <v>45.88</v>
      </c>
      <c r="D118" s="177">
        <v>42.15</v>
      </c>
      <c r="E118" s="177">
        <v>45.5</v>
      </c>
      <c r="G118" s="200"/>
      <c r="H118" s="199">
        <f t="shared" si="18"/>
        <v>21</v>
      </c>
      <c r="I118" s="200">
        <f t="shared" si="19"/>
        <v>-955.5</v>
      </c>
      <c r="J118" s="199">
        <f t="shared" si="20"/>
        <v>21</v>
      </c>
      <c r="K118" s="200">
        <f t="shared" si="21"/>
        <v>-963.48</v>
      </c>
      <c r="L118" s="199">
        <f t="shared" si="22"/>
        <v>23</v>
      </c>
      <c r="M118" s="200">
        <f t="shared" si="23"/>
        <v>-969.44999999999993</v>
      </c>
      <c r="O118" s="200"/>
      <c r="Q118" s="200"/>
    </row>
    <row r="119" spans="1:17" hidden="1" x14ac:dyDescent="0.4">
      <c r="A119" s="198">
        <v>39538</v>
      </c>
      <c r="B119" s="177">
        <v>43.72</v>
      </c>
      <c r="C119" s="177">
        <v>45.07</v>
      </c>
      <c r="D119" s="177">
        <v>41.05</v>
      </c>
      <c r="E119" s="177">
        <v>42.92</v>
      </c>
      <c r="G119" s="200"/>
      <c r="H119" s="199">
        <f t="shared" si="18"/>
        <v>23</v>
      </c>
      <c r="I119" s="200">
        <f t="shared" si="19"/>
        <v>-987.16000000000008</v>
      </c>
      <c r="J119" s="199">
        <f t="shared" si="20"/>
        <v>22</v>
      </c>
      <c r="K119" s="200">
        <f t="shared" si="21"/>
        <v>-991.54</v>
      </c>
      <c r="L119" s="199">
        <f t="shared" si="22"/>
        <v>24</v>
      </c>
      <c r="M119" s="200">
        <f t="shared" si="23"/>
        <v>-985.19999999999993</v>
      </c>
      <c r="O119" s="200"/>
      <c r="Q119" s="200"/>
    </row>
    <row r="120" spans="1:17" hidden="1" x14ac:dyDescent="0.4">
      <c r="A120" s="198">
        <v>39568</v>
      </c>
      <c r="B120" s="177">
        <v>47.21</v>
      </c>
      <c r="C120" s="177">
        <v>48.06</v>
      </c>
      <c r="D120" s="177">
        <v>43.68</v>
      </c>
      <c r="E120" s="177">
        <v>44.42</v>
      </c>
      <c r="G120" s="200"/>
      <c r="H120" s="199">
        <f t="shared" si="18"/>
        <v>22</v>
      </c>
      <c r="I120" s="200">
        <f t="shared" si="19"/>
        <v>-977.24</v>
      </c>
      <c r="J120" s="199">
        <f t="shared" si="20"/>
        <v>20</v>
      </c>
      <c r="K120" s="200">
        <f t="shared" si="21"/>
        <v>-961.2</v>
      </c>
      <c r="L120" s="199">
        <f t="shared" si="22"/>
        <v>22</v>
      </c>
      <c r="M120" s="200">
        <f t="shared" si="23"/>
        <v>-960.96</v>
      </c>
      <c r="O120" s="200"/>
      <c r="Q120" s="200"/>
    </row>
    <row r="121" spans="1:17" hidden="1" x14ac:dyDescent="0.4">
      <c r="A121" s="198">
        <v>39599</v>
      </c>
      <c r="B121" s="177">
        <v>50.01</v>
      </c>
      <c r="C121" s="177">
        <v>50.47</v>
      </c>
      <c r="D121" s="177">
        <v>47.22</v>
      </c>
      <c r="E121" s="177">
        <v>47.23</v>
      </c>
      <c r="G121" s="200"/>
      <c r="H121" s="199">
        <f t="shared" si="18"/>
        <v>21</v>
      </c>
      <c r="I121" s="200">
        <f t="shared" si="19"/>
        <v>-991.82999999999993</v>
      </c>
      <c r="J121" s="199">
        <f t="shared" si="20"/>
        <v>19</v>
      </c>
      <c r="K121" s="200">
        <f t="shared" si="21"/>
        <v>-958.93</v>
      </c>
      <c r="L121" s="199">
        <f t="shared" si="22"/>
        <v>21</v>
      </c>
      <c r="M121" s="200">
        <f t="shared" si="23"/>
        <v>-991.62</v>
      </c>
      <c r="O121" s="200"/>
      <c r="Q121" s="200"/>
    </row>
    <row r="122" spans="1:17" hidden="1" x14ac:dyDescent="0.4">
      <c r="A122" s="198">
        <v>39629</v>
      </c>
      <c r="B122" s="177">
        <v>45.17</v>
      </c>
      <c r="C122" s="177">
        <v>50.61</v>
      </c>
      <c r="D122" s="177">
        <v>44.97</v>
      </c>
      <c r="E122" s="177">
        <v>49.92</v>
      </c>
      <c r="G122" s="200"/>
      <c r="H122" s="199">
        <f t="shared" si="18"/>
        <v>20</v>
      </c>
      <c r="I122" s="200">
        <f t="shared" si="19"/>
        <v>-998.40000000000009</v>
      </c>
      <c r="J122" s="199">
        <f t="shared" si="20"/>
        <v>19</v>
      </c>
      <c r="K122" s="200">
        <f t="shared" si="21"/>
        <v>-961.59</v>
      </c>
      <c r="L122" s="199">
        <f t="shared" si="22"/>
        <v>22</v>
      </c>
      <c r="M122" s="200">
        <f t="shared" si="23"/>
        <v>-989.33999999999992</v>
      </c>
      <c r="O122" s="200"/>
      <c r="Q122" s="200"/>
    </row>
    <row r="123" spans="1:17" hidden="1" x14ac:dyDescent="0.4">
      <c r="A123" s="198">
        <v>39660</v>
      </c>
      <c r="B123" s="177">
        <v>45.46</v>
      </c>
      <c r="C123" s="177">
        <v>46.15</v>
      </c>
      <c r="D123" s="177">
        <v>43.3</v>
      </c>
      <c r="E123" s="177">
        <v>44.81</v>
      </c>
      <c r="G123" s="200"/>
      <c r="H123" s="199">
        <f t="shared" si="18"/>
        <v>22</v>
      </c>
      <c r="I123" s="200">
        <f t="shared" si="19"/>
        <v>-985.82</v>
      </c>
      <c r="J123" s="199">
        <f t="shared" si="20"/>
        <v>21</v>
      </c>
      <c r="K123" s="200">
        <f t="shared" si="21"/>
        <v>-969.15</v>
      </c>
      <c r="L123" s="199">
        <f t="shared" si="22"/>
        <v>23</v>
      </c>
      <c r="M123" s="200">
        <f t="shared" si="23"/>
        <v>-995.9</v>
      </c>
      <c r="O123" s="200"/>
      <c r="Q123" s="200"/>
    </row>
    <row r="124" spans="1:17" hidden="1" x14ac:dyDescent="0.4">
      <c r="A124" s="198">
        <v>39691</v>
      </c>
      <c r="B124" s="177">
        <v>46.12</v>
      </c>
      <c r="C124" s="177">
        <v>48.57</v>
      </c>
      <c r="D124" s="177">
        <v>44.3</v>
      </c>
      <c r="E124" s="177">
        <v>45.51</v>
      </c>
      <c r="G124" s="200"/>
      <c r="H124" s="199">
        <f t="shared" si="18"/>
        <v>21</v>
      </c>
      <c r="I124" s="200">
        <f t="shared" si="19"/>
        <v>-955.70999999999992</v>
      </c>
      <c r="J124" s="199">
        <f t="shared" si="20"/>
        <v>20</v>
      </c>
      <c r="K124" s="200">
        <f t="shared" si="21"/>
        <v>-971.4</v>
      </c>
      <c r="L124" s="199">
        <f t="shared" si="22"/>
        <v>22</v>
      </c>
      <c r="M124" s="200">
        <f t="shared" si="23"/>
        <v>-974.59999999999991</v>
      </c>
      <c r="O124" s="200"/>
      <c r="Q124" s="200"/>
    </row>
    <row r="125" spans="1:17" hidden="1" x14ac:dyDescent="0.4">
      <c r="A125" s="198">
        <v>39721</v>
      </c>
      <c r="B125" s="177">
        <v>38.909999999999997</v>
      </c>
      <c r="C125" s="177">
        <v>47.08</v>
      </c>
      <c r="D125" s="177">
        <v>37.18</v>
      </c>
      <c r="E125" s="177">
        <v>46.87</v>
      </c>
      <c r="G125" s="200"/>
      <c r="H125" s="199">
        <f t="shared" si="18"/>
        <v>21</v>
      </c>
      <c r="I125" s="200">
        <f t="shared" si="19"/>
        <v>-984.27</v>
      </c>
      <c r="J125" s="199">
        <f t="shared" si="20"/>
        <v>21</v>
      </c>
      <c r="K125" s="200">
        <f t="shared" si="21"/>
        <v>-988.68</v>
      </c>
      <c r="L125" s="199">
        <f t="shared" si="22"/>
        <v>26</v>
      </c>
      <c r="M125" s="200">
        <f t="shared" si="23"/>
        <v>-966.68</v>
      </c>
      <c r="O125" s="200"/>
      <c r="Q125" s="200"/>
    </row>
    <row r="126" spans="1:17" hidden="1" x14ac:dyDescent="0.4">
      <c r="A126" s="198">
        <v>39752</v>
      </c>
      <c r="B126" s="177">
        <v>32.89</v>
      </c>
      <c r="C126" s="177">
        <v>38.97</v>
      </c>
      <c r="D126" s="177">
        <v>28.09</v>
      </c>
      <c r="E126" s="177">
        <v>38.840000000000003</v>
      </c>
      <c r="G126" s="200"/>
      <c r="H126" s="199">
        <f t="shared" si="18"/>
        <v>25</v>
      </c>
      <c r="I126" s="200">
        <f t="shared" si="19"/>
        <v>-971.00000000000011</v>
      </c>
      <c r="J126" s="199">
        <f t="shared" si="20"/>
        <v>25</v>
      </c>
      <c r="K126" s="200">
        <f t="shared" si="21"/>
        <v>-974.25</v>
      </c>
      <c r="L126" s="199">
        <f t="shared" si="22"/>
        <v>35</v>
      </c>
      <c r="M126" s="200">
        <f t="shared" si="23"/>
        <v>-983.15</v>
      </c>
      <c r="O126" s="200"/>
      <c r="Q126" s="200"/>
    </row>
    <row r="127" spans="1:17" hidden="1" x14ac:dyDescent="0.4">
      <c r="A127" s="198">
        <v>39782</v>
      </c>
      <c r="B127" s="177">
        <v>29.35</v>
      </c>
      <c r="C127" s="177">
        <v>34.01</v>
      </c>
      <c r="D127" s="177">
        <v>25.05</v>
      </c>
      <c r="E127" s="177">
        <v>32.840000000000003</v>
      </c>
      <c r="G127" s="200"/>
      <c r="H127" s="199">
        <f t="shared" si="18"/>
        <v>30</v>
      </c>
      <c r="I127" s="200">
        <f t="shared" si="19"/>
        <v>-985.2</v>
      </c>
      <c r="J127" s="199">
        <f t="shared" si="20"/>
        <v>29</v>
      </c>
      <c r="K127" s="200">
        <f t="shared" si="21"/>
        <v>-986.29</v>
      </c>
      <c r="L127" s="199">
        <f t="shared" si="22"/>
        <v>39</v>
      </c>
      <c r="M127" s="200">
        <f t="shared" si="23"/>
        <v>-976.95</v>
      </c>
      <c r="O127" s="200"/>
      <c r="Q127" s="200"/>
    </row>
    <row r="128" spans="1:17" hidden="1" x14ac:dyDescent="0.4">
      <c r="A128" s="198">
        <v>39813</v>
      </c>
      <c r="B128" s="177">
        <v>29.74</v>
      </c>
      <c r="C128" s="177">
        <v>30.83</v>
      </c>
      <c r="D128" s="177">
        <v>26.84</v>
      </c>
      <c r="E128" s="177">
        <v>28.5</v>
      </c>
      <c r="G128" s="200"/>
      <c r="H128" s="199">
        <f t="shared" si="18"/>
        <v>35</v>
      </c>
      <c r="I128" s="200">
        <f t="shared" si="19"/>
        <v>-997.5</v>
      </c>
      <c r="J128" s="199">
        <f t="shared" si="20"/>
        <v>32</v>
      </c>
      <c r="K128" s="200">
        <f t="shared" si="21"/>
        <v>-986.56</v>
      </c>
      <c r="L128" s="199">
        <f t="shared" si="22"/>
        <v>37</v>
      </c>
      <c r="M128" s="200">
        <f t="shared" si="23"/>
        <v>-993.08</v>
      </c>
      <c r="O128" s="200"/>
      <c r="Q128" s="200"/>
    </row>
    <row r="129" spans="1:17" hidden="1" x14ac:dyDescent="0.4">
      <c r="A129" s="198">
        <v>39844</v>
      </c>
      <c r="B129" s="177">
        <v>29.06</v>
      </c>
      <c r="C129" s="177">
        <v>31.63</v>
      </c>
      <c r="D129" s="177">
        <v>27.96</v>
      </c>
      <c r="E129" s="177">
        <v>29.75</v>
      </c>
      <c r="G129" s="200"/>
      <c r="H129" s="199">
        <f t="shared" si="18"/>
        <v>33</v>
      </c>
      <c r="I129" s="200">
        <f t="shared" si="19"/>
        <v>-981.75</v>
      </c>
      <c r="J129" s="199">
        <f t="shared" si="20"/>
        <v>31</v>
      </c>
      <c r="K129" s="200">
        <f t="shared" si="21"/>
        <v>-980.53</v>
      </c>
      <c r="L129" s="199">
        <f t="shared" si="22"/>
        <v>35</v>
      </c>
      <c r="M129" s="200">
        <f t="shared" si="23"/>
        <v>-978.6</v>
      </c>
      <c r="N129" s="199">
        <f>INT(N$1/MAX(C129:C140))</f>
        <v>259</v>
      </c>
      <c r="O129" s="200">
        <f>N129*-MAX(C129:C140)</f>
        <v>-11991.699999999999</v>
      </c>
      <c r="P129" s="199">
        <f>INT(P$1/MIN(D129:D140))</f>
        <v>468</v>
      </c>
      <c r="Q129" s="200">
        <f>P129*-MIN(D129:D140)</f>
        <v>-11994.84</v>
      </c>
    </row>
    <row r="130" spans="1:17" hidden="1" x14ac:dyDescent="0.4">
      <c r="A130" s="198">
        <v>39872</v>
      </c>
      <c r="B130" s="177">
        <v>27.53</v>
      </c>
      <c r="C130" s="177">
        <v>31.68</v>
      </c>
      <c r="D130" s="177">
        <v>27.39</v>
      </c>
      <c r="E130" s="177">
        <v>28.78</v>
      </c>
      <c r="G130" s="200"/>
      <c r="H130" s="199">
        <f t="shared" si="18"/>
        <v>34</v>
      </c>
      <c r="I130" s="200">
        <f t="shared" si="19"/>
        <v>-978.52</v>
      </c>
      <c r="J130" s="199">
        <f t="shared" si="20"/>
        <v>31</v>
      </c>
      <c r="K130" s="200">
        <f t="shared" si="21"/>
        <v>-982.08</v>
      </c>
      <c r="L130" s="199">
        <f t="shared" si="22"/>
        <v>36</v>
      </c>
      <c r="M130" s="200">
        <f t="shared" si="23"/>
        <v>-986.04</v>
      </c>
      <c r="O130" s="200"/>
      <c r="Q130" s="200"/>
    </row>
    <row r="131" spans="1:17" hidden="1" x14ac:dyDescent="0.4">
      <c r="A131" s="198">
        <v>39903</v>
      </c>
      <c r="B131" s="177">
        <v>30.32</v>
      </c>
      <c r="C131" s="177">
        <v>31.46</v>
      </c>
      <c r="D131" s="177">
        <v>25.63</v>
      </c>
      <c r="E131" s="177">
        <v>27.12</v>
      </c>
      <c r="G131" s="200"/>
      <c r="H131" s="199">
        <f t="shared" si="18"/>
        <v>36</v>
      </c>
      <c r="I131" s="200">
        <f t="shared" si="19"/>
        <v>-976.32</v>
      </c>
      <c r="J131" s="199">
        <f t="shared" si="20"/>
        <v>31</v>
      </c>
      <c r="K131" s="200">
        <f t="shared" si="21"/>
        <v>-975.26</v>
      </c>
      <c r="L131" s="199">
        <f t="shared" si="22"/>
        <v>39</v>
      </c>
      <c r="M131" s="200">
        <f t="shared" si="23"/>
        <v>-999.56999999999994</v>
      </c>
      <c r="O131" s="200"/>
      <c r="Q131" s="200"/>
    </row>
    <row r="132" spans="1:17" hidden="1" x14ac:dyDescent="0.4">
      <c r="A132" s="198">
        <v>39933</v>
      </c>
      <c r="B132" s="177">
        <v>34.28</v>
      </c>
      <c r="C132" s="177">
        <v>34.9</v>
      </c>
      <c r="D132" s="177">
        <v>29.79</v>
      </c>
      <c r="E132" s="177">
        <v>29.94</v>
      </c>
      <c r="G132" s="200"/>
      <c r="H132" s="199">
        <f t="shared" si="18"/>
        <v>33</v>
      </c>
      <c r="I132" s="200">
        <f t="shared" si="19"/>
        <v>-988.0200000000001</v>
      </c>
      <c r="J132" s="199">
        <f t="shared" si="20"/>
        <v>28</v>
      </c>
      <c r="K132" s="200">
        <f t="shared" si="21"/>
        <v>-977.19999999999993</v>
      </c>
      <c r="L132" s="199">
        <f t="shared" si="22"/>
        <v>33</v>
      </c>
      <c r="M132" s="200">
        <f t="shared" si="23"/>
        <v>-983.06999999999994</v>
      </c>
      <c r="O132" s="200"/>
      <c r="Q132" s="200"/>
    </row>
    <row r="133" spans="1:17" hidden="1" x14ac:dyDescent="0.4">
      <c r="A133" s="198">
        <v>39964</v>
      </c>
      <c r="B133" s="177">
        <v>35.380000000000003</v>
      </c>
      <c r="C133" s="177">
        <v>35.5</v>
      </c>
      <c r="D133" s="177">
        <v>32.96</v>
      </c>
      <c r="E133" s="177">
        <v>34.270000000000003</v>
      </c>
      <c r="G133" s="200"/>
      <c r="H133" s="199">
        <f t="shared" si="18"/>
        <v>29</v>
      </c>
      <c r="I133" s="200">
        <f t="shared" si="19"/>
        <v>-993.83</v>
      </c>
      <c r="J133" s="199">
        <f t="shared" si="20"/>
        <v>28</v>
      </c>
      <c r="K133" s="200">
        <f t="shared" si="21"/>
        <v>-994</v>
      </c>
      <c r="L133" s="199">
        <f t="shared" si="22"/>
        <v>30</v>
      </c>
      <c r="M133" s="200">
        <f t="shared" si="23"/>
        <v>-988.80000000000007</v>
      </c>
      <c r="O133" s="200"/>
      <c r="Q133" s="200"/>
    </row>
    <row r="134" spans="1:17" hidden="1" x14ac:dyDescent="0.4">
      <c r="A134" s="198">
        <v>39994</v>
      </c>
      <c r="B134" s="177">
        <v>36.380000000000003</v>
      </c>
      <c r="C134" s="177">
        <v>37.229999999999997</v>
      </c>
      <c r="D134" s="177">
        <v>34.770000000000003</v>
      </c>
      <c r="E134" s="177">
        <v>35.76</v>
      </c>
      <c r="G134" s="200"/>
      <c r="H134" s="199">
        <f t="shared" si="18"/>
        <v>27</v>
      </c>
      <c r="I134" s="200">
        <f t="shared" si="19"/>
        <v>-965.52</v>
      </c>
      <c r="J134" s="199">
        <f t="shared" si="20"/>
        <v>26</v>
      </c>
      <c r="K134" s="200">
        <f t="shared" si="21"/>
        <v>-967.9799999999999</v>
      </c>
      <c r="L134" s="199">
        <f t="shared" si="22"/>
        <v>28</v>
      </c>
      <c r="M134" s="200">
        <f t="shared" si="23"/>
        <v>-973.56000000000006</v>
      </c>
      <c r="O134" s="200"/>
      <c r="Q134" s="200"/>
    </row>
    <row r="135" spans="1:17" hidden="1" x14ac:dyDescent="0.4">
      <c r="A135" s="198">
        <v>40025</v>
      </c>
      <c r="B135" s="177">
        <v>39.450000000000003</v>
      </c>
      <c r="C135" s="177">
        <v>40.18</v>
      </c>
      <c r="D135" s="177">
        <v>34.299999999999997</v>
      </c>
      <c r="E135" s="177">
        <v>36.56</v>
      </c>
      <c r="G135" s="200"/>
      <c r="H135" s="199">
        <f t="shared" si="18"/>
        <v>27</v>
      </c>
      <c r="I135" s="200">
        <f t="shared" si="19"/>
        <v>-987.12000000000012</v>
      </c>
      <c r="J135" s="199">
        <f t="shared" si="20"/>
        <v>24</v>
      </c>
      <c r="K135" s="200">
        <f t="shared" si="21"/>
        <v>-964.31999999999994</v>
      </c>
      <c r="L135" s="199">
        <f t="shared" si="22"/>
        <v>29</v>
      </c>
      <c r="M135" s="200">
        <f t="shared" si="23"/>
        <v>-994.69999999999993</v>
      </c>
      <c r="O135" s="200"/>
      <c r="Q135" s="200"/>
    </row>
    <row r="136" spans="1:17" hidden="1" x14ac:dyDescent="0.4">
      <c r="A136" s="198">
        <v>40056</v>
      </c>
      <c r="B136" s="177">
        <v>40.03</v>
      </c>
      <c r="C136" s="177">
        <v>41.08</v>
      </c>
      <c r="D136" s="177">
        <v>38.46</v>
      </c>
      <c r="E136" s="177">
        <v>39.85</v>
      </c>
      <c r="G136" s="200"/>
      <c r="H136" s="199">
        <f t="shared" si="18"/>
        <v>25</v>
      </c>
      <c r="I136" s="200">
        <f t="shared" si="19"/>
        <v>-996.25</v>
      </c>
      <c r="J136" s="199">
        <f t="shared" si="20"/>
        <v>24</v>
      </c>
      <c r="K136" s="200">
        <f t="shared" si="21"/>
        <v>-985.92</v>
      </c>
      <c r="L136" s="199">
        <f t="shared" si="22"/>
        <v>26</v>
      </c>
      <c r="M136" s="200">
        <f t="shared" si="23"/>
        <v>-999.96</v>
      </c>
      <c r="O136" s="200"/>
      <c r="Q136" s="200"/>
    </row>
    <row r="137" spans="1:17" hidden="1" x14ac:dyDescent="0.4">
      <c r="A137" s="198">
        <v>40086</v>
      </c>
      <c r="B137" s="177">
        <v>42.25</v>
      </c>
      <c r="C137" s="177">
        <v>43.17</v>
      </c>
      <c r="D137" s="177">
        <v>39.020000000000003</v>
      </c>
      <c r="E137" s="177">
        <v>39.89</v>
      </c>
      <c r="G137" s="200"/>
      <c r="H137" s="199">
        <f t="shared" si="18"/>
        <v>25</v>
      </c>
      <c r="I137" s="200">
        <f t="shared" si="19"/>
        <v>-997.25</v>
      </c>
      <c r="J137" s="199">
        <f t="shared" si="20"/>
        <v>23</v>
      </c>
      <c r="K137" s="200">
        <f t="shared" si="21"/>
        <v>-992.91000000000008</v>
      </c>
      <c r="L137" s="199">
        <f t="shared" si="22"/>
        <v>25</v>
      </c>
      <c r="M137" s="200">
        <f t="shared" si="23"/>
        <v>-975.50000000000011</v>
      </c>
      <c r="O137" s="200"/>
      <c r="Q137" s="200"/>
    </row>
    <row r="138" spans="1:17" hidden="1" x14ac:dyDescent="0.4">
      <c r="A138" s="198">
        <v>40117</v>
      </c>
      <c r="B138" s="177">
        <v>40.96</v>
      </c>
      <c r="C138" s="177">
        <v>43.82</v>
      </c>
      <c r="D138" s="177">
        <v>40.72</v>
      </c>
      <c r="E138" s="177">
        <v>42.1</v>
      </c>
      <c r="G138" s="200"/>
      <c r="H138" s="199">
        <f t="shared" si="18"/>
        <v>23</v>
      </c>
      <c r="I138" s="200">
        <f t="shared" si="19"/>
        <v>-968.30000000000007</v>
      </c>
      <c r="J138" s="199">
        <f t="shared" si="20"/>
        <v>22</v>
      </c>
      <c r="K138" s="200">
        <f t="shared" si="21"/>
        <v>-964.04</v>
      </c>
      <c r="L138" s="199">
        <f t="shared" si="22"/>
        <v>24</v>
      </c>
      <c r="M138" s="200">
        <f t="shared" si="23"/>
        <v>-977.28</v>
      </c>
      <c r="O138" s="200"/>
      <c r="Q138" s="200"/>
    </row>
    <row r="139" spans="1:17" hidden="1" x14ac:dyDescent="0.4">
      <c r="A139" s="198">
        <v>40147</v>
      </c>
      <c r="B139" s="177">
        <v>43.56</v>
      </c>
      <c r="C139" s="177">
        <v>44.65</v>
      </c>
      <c r="D139" s="177">
        <v>40.64</v>
      </c>
      <c r="E139" s="177">
        <v>41</v>
      </c>
      <c r="G139" s="200"/>
      <c r="H139" s="199">
        <f t="shared" ref="H139:H202" si="24">INT(H$1/$E139)</f>
        <v>24</v>
      </c>
      <c r="I139" s="200">
        <f t="shared" ref="I139:I202" si="25">-H139*E139</f>
        <v>-984</v>
      </c>
      <c r="J139" s="199">
        <f t="shared" si="20"/>
        <v>22</v>
      </c>
      <c r="K139" s="200">
        <f t="shared" si="21"/>
        <v>-982.3</v>
      </c>
      <c r="L139" s="199">
        <f t="shared" si="22"/>
        <v>24</v>
      </c>
      <c r="M139" s="200">
        <f t="shared" si="23"/>
        <v>-975.36</v>
      </c>
      <c r="O139" s="200"/>
      <c r="Q139" s="200"/>
    </row>
    <row r="140" spans="1:17" hidden="1" x14ac:dyDescent="0.4">
      <c r="A140" s="198">
        <v>40178</v>
      </c>
      <c r="B140" s="177">
        <v>45.75</v>
      </c>
      <c r="C140" s="177">
        <v>46.3</v>
      </c>
      <c r="D140" s="177">
        <v>43.32</v>
      </c>
      <c r="E140" s="177">
        <v>43.88</v>
      </c>
      <c r="G140" s="200"/>
      <c r="H140" s="199">
        <f t="shared" si="24"/>
        <v>22</v>
      </c>
      <c r="I140" s="200">
        <f t="shared" si="25"/>
        <v>-965.36</v>
      </c>
      <c r="J140" s="199">
        <f t="shared" si="20"/>
        <v>21</v>
      </c>
      <c r="K140" s="200">
        <f t="shared" si="21"/>
        <v>-972.3</v>
      </c>
      <c r="L140" s="199">
        <f t="shared" si="22"/>
        <v>23</v>
      </c>
      <c r="M140" s="200">
        <f t="shared" si="23"/>
        <v>-996.36</v>
      </c>
      <c r="O140" s="200"/>
      <c r="Q140" s="200"/>
    </row>
    <row r="141" spans="1:17" hidden="1" x14ac:dyDescent="0.4">
      <c r="A141" s="198">
        <v>40209</v>
      </c>
      <c r="B141" s="177">
        <v>42.79</v>
      </c>
      <c r="C141" s="177">
        <v>46.64</v>
      </c>
      <c r="D141" s="177">
        <v>42.63</v>
      </c>
      <c r="E141" s="177">
        <v>46.33</v>
      </c>
      <c r="G141" s="200"/>
      <c r="H141" s="199">
        <f t="shared" si="24"/>
        <v>21</v>
      </c>
      <c r="I141" s="200">
        <f t="shared" si="25"/>
        <v>-972.93</v>
      </c>
      <c r="J141" s="199">
        <f t="shared" si="20"/>
        <v>21</v>
      </c>
      <c r="K141" s="200">
        <f t="shared" si="21"/>
        <v>-979.44</v>
      </c>
      <c r="L141" s="199">
        <f t="shared" si="22"/>
        <v>23</v>
      </c>
      <c r="M141" s="200">
        <f t="shared" si="23"/>
        <v>-980.49</v>
      </c>
      <c r="N141" s="199">
        <f>INT(N$1/MAX(C141:C152))</f>
        <v>218</v>
      </c>
      <c r="O141" s="200">
        <f>N141*-MAX(C141:C152)</f>
        <v>-11981.28</v>
      </c>
      <c r="P141" s="199">
        <f>INT(P$1/MIN(D141:D152))</f>
        <v>288</v>
      </c>
      <c r="Q141" s="200">
        <f>P141*-MIN(D141:D152)</f>
        <v>-11966.4</v>
      </c>
    </row>
    <row r="142" spans="1:17" hidden="1" x14ac:dyDescent="0.4">
      <c r="A142" s="198">
        <v>40237</v>
      </c>
      <c r="B142" s="177">
        <v>44.76</v>
      </c>
      <c r="C142" s="177">
        <v>45.05</v>
      </c>
      <c r="D142" s="177">
        <v>42.12</v>
      </c>
      <c r="E142" s="177">
        <v>42.91</v>
      </c>
      <c r="G142" s="200"/>
      <c r="H142" s="199">
        <f t="shared" si="24"/>
        <v>23</v>
      </c>
      <c r="I142" s="200">
        <f t="shared" si="25"/>
        <v>-986.93</v>
      </c>
      <c r="J142" s="199">
        <f t="shared" ref="J142:J205" si="26">INT(J$1/$C142)</f>
        <v>22</v>
      </c>
      <c r="K142" s="200">
        <f t="shared" ref="K142:K205" si="27">-J142*$C142</f>
        <v>-991.09999999999991</v>
      </c>
      <c r="L142" s="199">
        <f t="shared" si="22"/>
        <v>23</v>
      </c>
      <c r="M142" s="200">
        <f t="shared" si="23"/>
        <v>-968.76</v>
      </c>
      <c r="O142" s="200"/>
      <c r="Q142" s="200"/>
    </row>
    <row r="143" spans="1:17" hidden="1" x14ac:dyDescent="0.4">
      <c r="A143" s="198">
        <v>40268</v>
      </c>
      <c r="B143" s="177">
        <v>48.16</v>
      </c>
      <c r="C143" s="177">
        <v>48.6</v>
      </c>
      <c r="D143" s="177">
        <v>44.95</v>
      </c>
      <c r="E143" s="177">
        <v>44.96</v>
      </c>
      <c r="G143" s="200"/>
      <c r="H143" s="199">
        <f t="shared" si="24"/>
        <v>22</v>
      </c>
      <c r="I143" s="200">
        <f t="shared" si="25"/>
        <v>-989.12</v>
      </c>
      <c r="J143" s="199">
        <f t="shared" si="26"/>
        <v>20</v>
      </c>
      <c r="K143" s="200">
        <f t="shared" si="27"/>
        <v>-972</v>
      </c>
      <c r="L143" s="199">
        <f t="shared" ref="L143:L206" si="28">INT(L$1/$D143)</f>
        <v>22</v>
      </c>
      <c r="M143" s="200">
        <f t="shared" ref="M143:M206" si="29">-L143*$D143</f>
        <v>-988.90000000000009</v>
      </c>
      <c r="O143" s="200"/>
      <c r="Q143" s="200"/>
    </row>
    <row r="144" spans="1:17" hidden="1" x14ac:dyDescent="0.4">
      <c r="A144" s="198">
        <v>40298</v>
      </c>
      <c r="B144" s="177">
        <v>49.24</v>
      </c>
      <c r="C144" s="177">
        <v>50.65</v>
      </c>
      <c r="D144" s="177">
        <v>47.79</v>
      </c>
      <c r="E144" s="177">
        <v>48.36</v>
      </c>
      <c r="G144" s="200"/>
      <c r="H144" s="199">
        <f t="shared" si="24"/>
        <v>20</v>
      </c>
      <c r="I144" s="200">
        <f t="shared" si="25"/>
        <v>-967.2</v>
      </c>
      <c r="J144" s="199">
        <f t="shared" si="26"/>
        <v>19</v>
      </c>
      <c r="K144" s="200">
        <f t="shared" si="27"/>
        <v>-962.35</v>
      </c>
      <c r="L144" s="199">
        <f t="shared" si="28"/>
        <v>20</v>
      </c>
      <c r="M144" s="200">
        <f t="shared" si="29"/>
        <v>-955.8</v>
      </c>
      <c r="O144" s="200"/>
      <c r="Q144" s="200"/>
    </row>
    <row r="145" spans="1:17" hidden="1" x14ac:dyDescent="0.4">
      <c r="A145" s="198">
        <v>40329</v>
      </c>
      <c r="B145" s="177">
        <v>45.6</v>
      </c>
      <c r="C145" s="177">
        <v>50.17</v>
      </c>
      <c r="D145" s="177">
        <v>41.55</v>
      </c>
      <c r="E145" s="177">
        <v>49.44</v>
      </c>
      <c r="G145" s="200"/>
      <c r="H145" s="199">
        <f t="shared" si="24"/>
        <v>20</v>
      </c>
      <c r="I145" s="200">
        <f t="shared" si="25"/>
        <v>-988.8</v>
      </c>
      <c r="J145" s="199">
        <f t="shared" si="26"/>
        <v>19</v>
      </c>
      <c r="K145" s="200">
        <f t="shared" si="27"/>
        <v>-953.23</v>
      </c>
      <c r="L145" s="199">
        <f t="shared" si="28"/>
        <v>24</v>
      </c>
      <c r="M145" s="200">
        <f t="shared" si="29"/>
        <v>-997.19999999999993</v>
      </c>
      <c r="O145" s="200"/>
      <c r="Q145" s="200"/>
    </row>
    <row r="146" spans="1:17" hidden="1" x14ac:dyDescent="0.4">
      <c r="A146" s="198">
        <v>40359</v>
      </c>
      <c r="B146" s="177">
        <v>42.71</v>
      </c>
      <c r="C146" s="177">
        <v>47.68</v>
      </c>
      <c r="D146" s="177">
        <v>42.64</v>
      </c>
      <c r="E146" s="177">
        <v>45.46</v>
      </c>
      <c r="G146" s="200"/>
      <c r="H146" s="199">
        <f t="shared" si="24"/>
        <v>21</v>
      </c>
      <c r="I146" s="200">
        <f t="shared" si="25"/>
        <v>-954.66</v>
      </c>
      <c r="J146" s="199">
        <f t="shared" si="26"/>
        <v>20</v>
      </c>
      <c r="K146" s="200">
        <f t="shared" si="27"/>
        <v>-953.6</v>
      </c>
      <c r="L146" s="199">
        <f t="shared" si="28"/>
        <v>23</v>
      </c>
      <c r="M146" s="200">
        <f t="shared" si="29"/>
        <v>-980.72</v>
      </c>
      <c r="O146" s="200"/>
      <c r="Q146" s="200"/>
    </row>
    <row r="147" spans="1:17" hidden="1" x14ac:dyDescent="0.4">
      <c r="A147" s="198">
        <v>40390</v>
      </c>
      <c r="B147" s="177">
        <v>45.81</v>
      </c>
      <c r="C147" s="177">
        <v>46.72</v>
      </c>
      <c r="D147" s="177">
        <v>41.77</v>
      </c>
      <c r="E147" s="177">
        <v>42.84</v>
      </c>
      <c r="G147" s="200"/>
      <c r="H147" s="199">
        <f t="shared" si="24"/>
        <v>23</v>
      </c>
      <c r="I147" s="200">
        <f t="shared" si="25"/>
        <v>-985.32</v>
      </c>
      <c r="J147" s="199">
        <f t="shared" si="26"/>
        <v>21</v>
      </c>
      <c r="K147" s="200">
        <f t="shared" si="27"/>
        <v>-981.12</v>
      </c>
      <c r="L147" s="199">
        <f t="shared" si="28"/>
        <v>23</v>
      </c>
      <c r="M147" s="200">
        <f t="shared" si="29"/>
        <v>-960.71</v>
      </c>
      <c r="O147" s="200"/>
      <c r="Q147" s="200"/>
    </row>
    <row r="148" spans="1:17" hidden="1" x14ac:dyDescent="0.4">
      <c r="A148" s="198">
        <v>40421</v>
      </c>
      <c r="B148" s="177">
        <v>43.46</v>
      </c>
      <c r="C148" s="177">
        <v>47.19</v>
      </c>
      <c r="D148" s="177">
        <v>42.97</v>
      </c>
      <c r="E148" s="177">
        <v>46.39</v>
      </c>
      <c r="G148" s="200"/>
      <c r="H148" s="199">
        <f t="shared" si="24"/>
        <v>21</v>
      </c>
      <c r="I148" s="200">
        <f t="shared" si="25"/>
        <v>-974.19</v>
      </c>
      <c r="J148" s="199">
        <f t="shared" si="26"/>
        <v>21</v>
      </c>
      <c r="K148" s="200">
        <f t="shared" si="27"/>
        <v>-990.99</v>
      </c>
      <c r="L148" s="199">
        <f t="shared" si="28"/>
        <v>23</v>
      </c>
      <c r="M148" s="200">
        <f t="shared" si="29"/>
        <v>-988.31</v>
      </c>
      <c r="O148" s="200"/>
      <c r="Q148" s="200"/>
    </row>
    <row r="149" spans="1:17" hidden="1" x14ac:dyDescent="0.4">
      <c r="A149" s="198">
        <v>40451</v>
      </c>
      <c r="B149" s="177">
        <v>49.07</v>
      </c>
      <c r="C149" s="177">
        <v>49.84</v>
      </c>
      <c r="D149" s="177">
        <v>44.07</v>
      </c>
      <c r="E149" s="177">
        <v>44.1</v>
      </c>
      <c r="G149" s="200"/>
      <c r="H149" s="199">
        <f t="shared" si="24"/>
        <v>22</v>
      </c>
      <c r="I149" s="200">
        <f t="shared" si="25"/>
        <v>-970.2</v>
      </c>
      <c r="J149" s="199">
        <f t="shared" si="26"/>
        <v>20</v>
      </c>
      <c r="K149" s="200">
        <f t="shared" si="27"/>
        <v>-996.80000000000007</v>
      </c>
      <c r="L149" s="199">
        <f t="shared" si="28"/>
        <v>22</v>
      </c>
      <c r="M149" s="200">
        <f t="shared" si="29"/>
        <v>-969.54</v>
      </c>
      <c r="O149" s="200"/>
      <c r="Q149" s="200"/>
    </row>
    <row r="150" spans="1:17" hidden="1" x14ac:dyDescent="0.4">
      <c r="A150" s="198">
        <v>40482</v>
      </c>
      <c r="B150" s="177">
        <v>52.18</v>
      </c>
      <c r="C150" s="177">
        <v>52.49</v>
      </c>
      <c r="D150" s="177">
        <v>48.2</v>
      </c>
      <c r="E150" s="177">
        <v>49.48</v>
      </c>
      <c r="G150" s="200"/>
      <c r="H150" s="199">
        <f t="shared" si="24"/>
        <v>20</v>
      </c>
      <c r="I150" s="200">
        <f t="shared" si="25"/>
        <v>-989.59999999999991</v>
      </c>
      <c r="J150" s="199">
        <f t="shared" si="26"/>
        <v>19</v>
      </c>
      <c r="K150" s="200">
        <f t="shared" si="27"/>
        <v>-997.31000000000006</v>
      </c>
      <c r="L150" s="199">
        <f t="shared" si="28"/>
        <v>20</v>
      </c>
      <c r="M150" s="200">
        <f t="shared" si="29"/>
        <v>-964</v>
      </c>
      <c r="O150" s="200"/>
      <c r="Q150" s="200"/>
    </row>
    <row r="151" spans="1:17" hidden="1" x14ac:dyDescent="0.4">
      <c r="A151" s="198">
        <v>40512</v>
      </c>
      <c r="B151" s="177">
        <v>52.09</v>
      </c>
      <c r="C151" s="177">
        <v>54.04</v>
      </c>
      <c r="D151" s="177">
        <v>50.85</v>
      </c>
      <c r="E151" s="177">
        <v>52.37</v>
      </c>
      <c r="G151" s="200"/>
      <c r="H151" s="199">
        <f t="shared" si="24"/>
        <v>19</v>
      </c>
      <c r="I151" s="200">
        <f t="shared" si="25"/>
        <v>-995.03</v>
      </c>
      <c r="J151" s="199">
        <f t="shared" si="26"/>
        <v>18</v>
      </c>
      <c r="K151" s="200">
        <f t="shared" si="27"/>
        <v>-972.72</v>
      </c>
      <c r="L151" s="199">
        <f t="shared" si="28"/>
        <v>19</v>
      </c>
      <c r="M151" s="200">
        <f t="shared" si="29"/>
        <v>-966.15</v>
      </c>
      <c r="O151" s="200"/>
      <c r="Q151" s="200"/>
    </row>
    <row r="152" spans="1:17" hidden="1" x14ac:dyDescent="0.4">
      <c r="A152" s="198">
        <v>40543</v>
      </c>
      <c r="B152" s="177">
        <v>54.46</v>
      </c>
      <c r="C152" s="177">
        <v>54.96</v>
      </c>
      <c r="D152" s="177">
        <v>52.84</v>
      </c>
      <c r="E152" s="177">
        <v>52.86</v>
      </c>
      <c r="G152" s="200"/>
      <c r="H152" s="199">
        <f t="shared" si="24"/>
        <v>18</v>
      </c>
      <c r="I152" s="200">
        <f t="shared" si="25"/>
        <v>-951.48</v>
      </c>
      <c r="J152" s="199">
        <f t="shared" si="26"/>
        <v>18</v>
      </c>
      <c r="K152" s="200">
        <f t="shared" si="27"/>
        <v>-989.28</v>
      </c>
      <c r="L152" s="199">
        <f t="shared" si="28"/>
        <v>18</v>
      </c>
      <c r="M152" s="200">
        <f t="shared" si="29"/>
        <v>-951.12000000000012</v>
      </c>
      <c r="O152" s="200"/>
      <c r="Q152" s="200"/>
    </row>
    <row r="153" spans="1:17" hidden="1" x14ac:dyDescent="0.4">
      <c r="A153" s="198">
        <v>40574</v>
      </c>
      <c r="B153" s="177">
        <v>56</v>
      </c>
      <c r="C153" s="177">
        <v>57.35</v>
      </c>
      <c r="D153" s="177">
        <v>54.92</v>
      </c>
      <c r="E153" s="177">
        <v>54.97</v>
      </c>
      <c r="G153" s="200"/>
      <c r="H153" s="199">
        <f t="shared" si="24"/>
        <v>18</v>
      </c>
      <c r="I153" s="200">
        <f t="shared" si="25"/>
        <v>-989.46</v>
      </c>
      <c r="J153" s="199">
        <f t="shared" si="26"/>
        <v>17</v>
      </c>
      <c r="K153" s="200">
        <f t="shared" si="27"/>
        <v>-974.95</v>
      </c>
      <c r="L153" s="199">
        <f t="shared" si="28"/>
        <v>18</v>
      </c>
      <c r="M153" s="200">
        <f t="shared" si="29"/>
        <v>-988.56000000000006</v>
      </c>
      <c r="N153" s="199">
        <f>INT(N$1/MAX(C153:C164))</f>
        <v>200</v>
      </c>
      <c r="O153" s="200">
        <f>N153*-MAX(C153:C164)</f>
        <v>-11966</v>
      </c>
      <c r="P153" s="199">
        <f>INT(P$1/MIN(D153:D164))</f>
        <v>240</v>
      </c>
      <c r="Q153" s="200">
        <f>P153*-MIN(D153:D164)</f>
        <v>-11983.2</v>
      </c>
    </row>
    <row r="154" spans="1:17" hidden="1" x14ac:dyDescent="0.4">
      <c r="A154" s="198">
        <v>40602</v>
      </c>
      <c r="B154" s="177">
        <v>57.77</v>
      </c>
      <c r="C154" s="177">
        <v>59.04</v>
      </c>
      <c r="D154" s="177">
        <v>56.13</v>
      </c>
      <c r="E154" s="177">
        <v>56.42</v>
      </c>
      <c r="G154" s="200"/>
      <c r="H154" s="199">
        <f t="shared" si="24"/>
        <v>17</v>
      </c>
      <c r="I154" s="200">
        <f t="shared" si="25"/>
        <v>-959.14</v>
      </c>
      <c r="J154" s="199">
        <f t="shared" si="26"/>
        <v>16</v>
      </c>
      <c r="K154" s="200">
        <f t="shared" si="27"/>
        <v>-944.64</v>
      </c>
      <c r="L154" s="199">
        <f t="shared" si="28"/>
        <v>17</v>
      </c>
      <c r="M154" s="200">
        <f t="shared" si="29"/>
        <v>-954.21</v>
      </c>
      <c r="O154" s="200"/>
      <c r="Q154" s="200"/>
    </row>
    <row r="155" spans="1:17" hidden="1" x14ac:dyDescent="0.4">
      <c r="A155" s="198">
        <v>40633</v>
      </c>
      <c r="B155" s="177">
        <v>57.43</v>
      </c>
      <c r="C155" s="177">
        <v>58.37</v>
      </c>
      <c r="D155" s="177">
        <v>53.77</v>
      </c>
      <c r="E155" s="177">
        <v>58.02</v>
      </c>
      <c r="G155" s="200"/>
      <c r="H155" s="199">
        <f t="shared" si="24"/>
        <v>17</v>
      </c>
      <c r="I155" s="200">
        <f t="shared" si="25"/>
        <v>-986.34</v>
      </c>
      <c r="J155" s="199">
        <f t="shared" si="26"/>
        <v>17</v>
      </c>
      <c r="K155" s="200">
        <f t="shared" si="27"/>
        <v>-992.29</v>
      </c>
      <c r="L155" s="199">
        <f t="shared" si="28"/>
        <v>18</v>
      </c>
      <c r="M155" s="200">
        <f t="shared" si="29"/>
        <v>-967.86</v>
      </c>
      <c r="O155" s="200"/>
      <c r="Q155" s="200"/>
    </row>
    <row r="156" spans="1:17" hidden="1" x14ac:dyDescent="0.4">
      <c r="A156" s="198">
        <v>40663</v>
      </c>
      <c r="B156" s="177">
        <v>59.08</v>
      </c>
      <c r="C156" s="177">
        <v>59.29</v>
      </c>
      <c r="D156" s="177">
        <v>55.32</v>
      </c>
      <c r="E156" s="177">
        <v>57.72</v>
      </c>
      <c r="G156" s="200"/>
      <c r="H156" s="199">
        <f t="shared" si="24"/>
        <v>17</v>
      </c>
      <c r="I156" s="200">
        <f t="shared" si="25"/>
        <v>-981.24</v>
      </c>
      <c r="J156" s="199">
        <f t="shared" si="26"/>
        <v>16</v>
      </c>
      <c r="K156" s="200">
        <f t="shared" si="27"/>
        <v>-948.64</v>
      </c>
      <c r="L156" s="199">
        <f t="shared" si="28"/>
        <v>18</v>
      </c>
      <c r="M156" s="200">
        <f t="shared" si="29"/>
        <v>-995.76</v>
      </c>
      <c r="O156" s="200"/>
      <c r="Q156" s="200"/>
    </row>
    <row r="157" spans="1:17" hidden="1" x14ac:dyDescent="0.4">
      <c r="A157" s="198">
        <v>40694</v>
      </c>
      <c r="B157" s="177">
        <v>58.36</v>
      </c>
      <c r="C157" s="177">
        <v>59.34</v>
      </c>
      <c r="D157" s="177">
        <v>56.47</v>
      </c>
      <c r="E157" s="177">
        <v>59.17</v>
      </c>
      <c r="G157" s="200"/>
      <c r="H157" s="199">
        <f t="shared" si="24"/>
        <v>16</v>
      </c>
      <c r="I157" s="200">
        <f t="shared" si="25"/>
        <v>-946.72</v>
      </c>
      <c r="J157" s="199">
        <f t="shared" si="26"/>
        <v>16</v>
      </c>
      <c r="K157" s="200">
        <f t="shared" si="27"/>
        <v>-949.44</v>
      </c>
      <c r="L157" s="199">
        <f t="shared" si="28"/>
        <v>17</v>
      </c>
      <c r="M157" s="200">
        <f t="shared" si="29"/>
        <v>-959.99</v>
      </c>
      <c r="O157" s="200"/>
      <c r="Q157" s="200"/>
    </row>
    <row r="158" spans="1:17" hidden="1" x14ac:dyDescent="0.4">
      <c r="A158" s="198">
        <v>40724</v>
      </c>
      <c r="B158" s="177">
        <v>57.05</v>
      </c>
      <c r="C158" s="177">
        <v>58.36</v>
      </c>
      <c r="D158" s="177">
        <v>53.62</v>
      </c>
      <c r="E158" s="177">
        <v>58.22</v>
      </c>
      <c r="G158" s="200"/>
      <c r="H158" s="199">
        <f t="shared" si="24"/>
        <v>17</v>
      </c>
      <c r="I158" s="200">
        <f t="shared" si="25"/>
        <v>-989.74</v>
      </c>
      <c r="J158" s="199">
        <f t="shared" si="26"/>
        <v>17</v>
      </c>
      <c r="K158" s="200">
        <f t="shared" si="27"/>
        <v>-992.12</v>
      </c>
      <c r="L158" s="199">
        <f t="shared" si="28"/>
        <v>18</v>
      </c>
      <c r="M158" s="200">
        <f t="shared" si="29"/>
        <v>-965.16</v>
      </c>
      <c r="O158" s="200"/>
      <c r="Q158" s="200"/>
    </row>
    <row r="159" spans="1:17" hidden="1" x14ac:dyDescent="0.4">
      <c r="A159" s="198">
        <v>40755</v>
      </c>
      <c r="B159" s="177">
        <v>58</v>
      </c>
      <c r="C159" s="177">
        <v>59.83</v>
      </c>
      <c r="D159" s="177">
        <v>56.87</v>
      </c>
      <c r="E159" s="177">
        <v>57.08</v>
      </c>
      <c r="G159" s="200"/>
      <c r="H159" s="199">
        <f t="shared" si="24"/>
        <v>17</v>
      </c>
      <c r="I159" s="200">
        <f t="shared" si="25"/>
        <v>-970.36</v>
      </c>
      <c r="J159" s="199">
        <f t="shared" si="26"/>
        <v>16</v>
      </c>
      <c r="K159" s="200">
        <f t="shared" si="27"/>
        <v>-957.28</v>
      </c>
      <c r="L159" s="199">
        <f t="shared" si="28"/>
        <v>17</v>
      </c>
      <c r="M159" s="200">
        <f t="shared" si="29"/>
        <v>-966.79</v>
      </c>
      <c r="O159" s="200"/>
      <c r="Q159" s="200"/>
    </row>
    <row r="160" spans="1:17" hidden="1" x14ac:dyDescent="0.4">
      <c r="A160" s="198">
        <v>40786</v>
      </c>
      <c r="B160" s="177">
        <v>55.06</v>
      </c>
      <c r="C160" s="177">
        <v>58.82</v>
      </c>
      <c r="D160" s="177">
        <v>49.93</v>
      </c>
      <c r="E160" s="177">
        <v>58.7</v>
      </c>
      <c r="G160" s="200"/>
      <c r="H160" s="199">
        <f t="shared" si="24"/>
        <v>17</v>
      </c>
      <c r="I160" s="200">
        <f t="shared" si="25"/>
        <v>-997.90000000000009</v>
      </c>
      <c r="J160" s="199">
        <f t="shared" si="26"/>
        <v>17</v>
      </c>
      <c r="K160" s="200">
        <f t="shared" si="27"/>
        <v>-999.94</v>
      </c>
      <c r="L160" s="199">
        <f t="shared" si="28"/>
        <v>20</v>
      </c>
      <c r="M160" s="200">
        <f t="shared" si="29"/>
        <v>-998.6</v>
      </c>
      <c r="O160" s="200"/>
      <c r="Q160" s="200"/>
    </row>
    <row r="161" spans="1:17" hidden="1" x14ac:dyDescent="0.4">
      <c r="A161" s="198">
        <v>40816</v>
      </c>
      <c r="B161" s="177">
        <v>52.49</v>
      </c>
      <c r="C161" s="177">
        <v>57.35</v>
      </c>
      <c r="D161" s="177">
        <v>51.91</v>
      </c>
      <c r="E161" s="177">
        <v>55.2</v>
      </c>
      <c r="G161" s="200"/>
      <c r="H161" s="199">
        <f t="shared" si="24"/>
        <v>18</v>
      </c>
      <c r="I161" s="200">
        <f t="shared" si="25"/>
        <v>-993.6</v>
      </c>
      <c r="J161" s="199">
        <f t="shared" si="26"/>
        <v>17</v>
      </c>
      <c r="K161" s="200">
        <f t="shared" si="27"/>
        <v>-974.95</v>
      </c>
      <c r="L161" s="199">
        <f t="shared" si="28"/>
        <v>19</v>
      </c>
      <c r="M161" s="200">
        <f t="shared" si="29"/>
        <v>-986.29</v>
      </c>
      <c r="O161" s="200"/>
      <c r="Q161" s="200"/>
    </row>
    <row r="162" spans="1:17" hidden="1" x14ac:dyDescent="0.4">
      <c r="A162" s="198">
        <v>40847</v>
      </c>
      <c r="B162" s="177">
        <v>57.95</v>
      </c>
      <c r="C162" s="177">
        <v>59.2</v>
      </c>
      <c r="D162" s="177">
        <v>50.1</v>
      </c>
      <c r="E162" s="177">
        <v>52.02</v>
      </c>
      <c r="G162" s="200"/>
      <c r="H162" s="199">
        <f t="shared" si="24"/>
        <v>19</v>
      </c>
      <c r="I162" s="200">
        <f t="shared" si="25"/>
        <v>-988.38000000000011</v>
      </c>
      <c r="J162" s="199">
        <f t="shared" si="26"/>
        <v>16</v>
      </c>
      <c r="K162" s="200">
        <f t="shared" si="27"/>
        <v>-947.2</v>
      </c>
      <c r="L162" s="199">
        <f t="shared" si="28"/>
        <v>19</v>
      </c>
      <c r="M162" s="200">
        <f t="shared" si="29"/>
        <v>-951.9</v>
      </c>
      <c r="O162" s="200"/>
      <c r="Q162" s="200"/>
    </row>
    <row r="163" spans="1:17" hidden="1" x14ac:dyDescent="0.4">
      <c r="A163" s="198">
        <v>40877</v>
      </c>
      <c r="B163" s="177">
        <v>56.39</v>
      </c>
      <c r="C163" s="177">
        <v>58.98</v>
      </c>
      <c r="D163" s="177">
        <v>52.87</v>
      </c>
      <c r="E163" s="177">
        <v>56.52</v>
      </c>
      <c r="G163" s="200"/>
      <c r="H163" s="199">
        <f t="shared" si="24"/>
        <v>17</v>
      </c>
      <c r="I163" s="200">
        <f t="shared" si="25"/>
        <v>-960.84</v>
      </c>
      <c r="J163" s="199">
        <f t="shared" si="26"/>
        <v>16</v>
      </c>
      <c r="K163" s="200">
        <f t="shared" si="27"/>
        <v>-943.68</v>
      </c>
      <c r="L163" s="199">
        <f t="shared" si="28"/>
        <v>18</v>
      </c>
      <c r="M163" s="200">
        <f t="shared" si="29"/>
        <v>-951.66</v>
      </c>
      <c r="O163" s="200"/>
      <c r="Q163" s="200"/>
    </row>
    <row r="164" spans="1:17" hidden="1" x14ac:dyDescent="0.4">
      <c r="A164" s="198">
        <v>40908</v>
      </c>
      <c r="B164" s="177">
        <v>55.83</v>
      </c>
      <c r="C164" s="177">
        <v>57.62</v>
      </c>
      <c r="D164" s="177">
        <v>54.17</v>
      </c>
      <c r="E164" s="177">
        <v>56.38</v>
      </c>
      <c r="G164" s="200"/>
      <c r="H164" s="199">
        <f t="shared" si="24"/>
        <v>17</v>
      </c>
      <c r="I164" s="200">
        <f t="shared" si="25"/>
        <v>-958.46</v>
      </c>
      <c r="J164" s="199">
        <f t="shared" si="26"/>
        <v>17</v>
      </c>
      <c r="K164" s="200">
        <f t="shared" si="27"/>
        <v>-979.54</v>
      </c>
      <c r="L164" s="199">
        <f t="shared" si="28"/>
        <v>18</v>
      </c>
      <c r="M164" s="200">
        <f t="shared" si="29"/>
        <v>-975.06000000000006</v>
      </c>
      <c r="O164" s="200"/>
      <c r="Q164" s="200"/>
    </row>
    <row r="165" spans="1:17" hidden="1" x14ac:dyDescent="0.4">
      <c r="A165" s="198">
        <v>40939</v>
      </c>
      <c r="B165" s="177">
        <v>60.53</v>
      </c>
      <c r="C165" s="177">
        <v>60.86</v>
      </c>
      <c r="D165" s="177">
        <v>56.56</v>
      </c>
      <c r="E165" s="177">
        <v>56.91</v>
      </c>
      <c r="G165" s="200"/>
      <c r="H165" s="199">
        <f t="shared" si="24"/>
        <v>17</v>
      </c>
      <c r="I165" s="200">
        <f t="shared" si="25"/>
        <v>-967.46999999999991</v>
      </c>
      <c r="J165" s="199">
        <f t="shared" si="26"/>
        <v>16</v>
      </c>
      <c r="K165" s="200">
        <f t="shared" si="27"/>
        <v>-973.76</v>
      </c>
      <c r="L165" s="199">
        <f t="shared" si="28"/>
        <v>17</v>
      </c>
      <c r="M165" s="200">
        <f t="shared" si="29"/>
        <v>-961.52</v>
      </c>
      <c r="N165" s="199">
        <f>INT(N$1/MAX(C165:C176))</f>
        <v>170</v>
      </c>
      <c r="O165" s="200">
        <f>N165*-MAX(C165:C176)</f>
        <v>-11998.6</v>
      </c>
      <c r="P165" s="199">
        <f>INT(P$1/MIN(D165:D176))</f>
        <v>212</v>
      </c>
      <c r="Q165" s="200">
        <f>P165*-MIN(D165:D176)</f>
        <v>-11990.720000000001</v>
      </c>
    </row>
    <row r="166" spans="1:17" hidden="1" x14ac:dyDescent="0.4">
      <c r="A166" s="198">
        <v>40968</v>
      </c>
      <c r="B166" s="177">
        <v>64.41</v>
      </c>
      <c r="C166" s="177">
        <v>64.959999999999994</v>
      </c>
      <c r="D166" s="177">
        <v>60.66</v>
      </c>
      <c r="E166" s="177">
        <v>60.88</v>
      </c>
      <c r="G166" s="200"/>
      <c r="H166" s="199">
        <f t="shared" si="24"/>
        <v>16</v>
      </c>
      <c r="I166" s="200">
        <f t="shared" si="25"/>
        <v>-974.08</v>
      </c>
      <c r="J166" s="199">
        <f t="shared" si="26"/>
        <v>15</v>
      </c>
      <c r="K166" s="200">
        <f t="shared" si="27"/>
        <v>-974.39999999999986</v>
      </c>
      <c r="L166" s="199">
        <f t="shared" si="28"/>
        <v>16</v>
      </c>
      <c r="M166" s="200">
        <f t="shared" si="29"/>
        <v>-970.56</v>
      </c>
      <c r="O166" s="200"/>
      <c r="Q166" s="200"/>
    </row>
    <row r="167" spans="1:17" hidden="1" x14ac:dyDescent="0.4">
      <c r="A167" s="198">
        <v>40999</v>
      </c>
      <c r="B167" s="177">
        <v>67.55</v>
      </c>
      <c r="C167" s="177">
        <v>68.510000000000005</v>
      </c>
      <c r="D167" s="177">
        <v>63.23</v>
      </c>
      <c r="E167" s="177">
        <v>64.650000000000006</v>
      </c>
      <c r="G167" s="200"/>
      <c r="H167" s="199">
        <f t="shared" si="24"/>
        <v>15</v>
      </c>
      <c r="I167" s="200">
        <f t="shared" si="25"/>
        <v>-969.75000000000011</v>
      </c>
      <c r="J167" s="199">
        <f t="shared" si="26"/>
        <v>14</v>
      </c>
      <c r="K167" s="200">
        <f t="shared" si="27"/>
        <v>-959.1400000000001</v>
      </c>
      <c r="L167" s="199">
        <f t="shared" si="28"/>
        <v>15</v>
      </c>
      <c r="M167" s="200">
        <f t="shared" si="29"/>
        <v>-948.44999999999993</v>
      </c>
      <c r="O167" s="200"/>
      <c r="Q167" s="200"/>
    </row>
    <row r="168" spans="1:17" hidden="1" x14ac:dyDescent="0.4">
      <c r="A168" s="198">
        <v>41029</v>
      </c>
      <c r="B168" s="177">
        <v>66.760000000000005</v>
      </c>
      <c r="C168" s="177">
        <v>68.55</v>
      </c>
      <c r="D168" s="177">
        <v>64.45</v>
      </c>
      <c r="E168" s="177">
        <v>67.48</v>
      </c>
      <c r="G168" s="200"/>
      <c r="H168" s="199">
        <f t="shared" si="24"/>
        <v>14</v>
      </c>
      <c r="I168" s="200">
        <f t="shared" si="25"/>
        <v>-944.72</v>
      </c>
      <c r="J168" s="199">
        <f t="shared" si="26"/>
        <v>14</v>
      </c>
      <c r="K168" s="200">
        <f t="shared" si="27"/>
        <v>-959.69999999999993</v>
      </c>
      <c r="L168" s="199">
        <f t="shared" si="28"/>
        <v>15</v>
      </c>
      <c r="M168" s="200">
        <f t="shared" si="29"/>
        <v>-966.75</v>
      </c>
      <c r="O168" s="200"/>
      <c r="Q168" s="200"/>
    </row>
    <row r="169" spans="1:17" hidden="1" x14ac:dyDescent="0.4">
      <c r="A169" s="198">
        <v>41060</v>
      </c>
      <c r="B169" s="177">
        <v>62.06</v>
      </c>
      <c r="C169" s="177">
        <v>67.63</v>
      </c>
      <c r="D169" s="177">
        <v>60.76</v>
      </c>
      <c r="E169" s="177">
        <v>66.69</v>
      </c>
      <c r="G169" s="200"/>
      <c r="H169" s="199">
        <f t="shared" si="24"/>
        <v>14</v>
      </c>
      <c r="I169" s="200">
        <f t="shared" si="25"/>
        <v>-933.66</v>
      </c>
      <c r="J169" s="199">
        <f t="shared" si="26"/>
        <v>14</v>
      </c>
      <c r="K169" s="200">
        <f t="shared" si="27"/>
        <v>-946.81999999999994</v>
      </c>
      <c r="L169" s="199">
        <f t="shared" si="28"/>
        <v>16</v>
      </c>
      <c r="M169" s="200">
        <f t="shared" si="29"/>
        <v>-972.16</v>
      </c>
      <c r="O169" s="200"/>
      <c r="Q169" s="200"/>
    </row>
    <row r="170" spans="1:17" hidden="1" x14ac:dyDescent="0.4">
      <c r="A170" s="198">
        <v>41090</v>
      </c>
      <c r="B170" s="177">
        <v>64.16</v>
      </c>
      <c r="C170" s="177">
        <v>64.569999999999993</v>
      </c>
      <c r="D170" s="177">
        <v>60.04</v>
      </c>
      <c r="E170" s="177">
        <v>60.94</v>
      </c>
      <c r="G170" s="200"/>
      <c r="H170" s="199">
        <f t="shared" si="24"/>
        <v>16</v>
      </c>
      <c r="I170" s="200">
        <f t="shared" si="25"/>
        <v>-975.04</v>
      </c>
      <c r="J170" s="199">
        <f t="shared" si="26"/>
        <v>15</v>
      </c>
      <c r="K170" s="200">
        <f t="shared" si="27"/>
        <v>-968.55</v>
      </c>
      <c r="L170" s="199">
        <f t="shared" si="28"/>
        <v>16</v>
      </c>
      <c r="M170" s="200">
        <f t="shared" si="29"/>
        <v>-960.64</v>
      </c>
      <c r="O170" s="200"/>
      <c r="Q170" s="200"/>
    </row>
    <row r="171" spans="1:17" hidden="1" x14ac:dyDescent="0.4">
      <c r="A171" s="198">
        <v>41121</v>
      </c>
      <c r="B171" s="177">
        <v>64.8</v>
      </c>
      <c r="C171" s="177">
        <v>65.31</v>
      </c>
      <c r="D171" s="177">
        <v>61.86</v>
      </c>
      <c r="E171" s="177">
        <v>64.25</v>
      </c>
      <c r="G171" s="200"/>
      <c r="H171" s="199">
        <f t="shared" si="24"/>
        <v>15</v>
      </c>
      <c r="I171" s="200">
        <f t="shared" si="25"/>
        <v>-963.75</v>
      </c>
      <c r="J171" s="199">
        <f t="shared" si="26"/>
        <v>15</v>
      </c>
      <c r="K171" s="200">
        <f t="shared" si="27"/>
        <v>-979.65000000000009</v>
      </c>
      <c r="L171" s="199">
        <f t="shared" si="28"/>
        <v>16</v>
      </c>
      <c r="M171" s="200">
        <f t="shared" si="29"/>
        <v>-989.76</v>
      </c>
      <c r="O171" s="200"/>
      <c r="Q171" s="200"/>
    </row>
    <row r="172" spans="1:17" hidden="1" x14ac:dyDescent="0.4">
      <c r="A172" s="198">
        <v>41152</v>
      </c>
      <c r="B172" s="177">
        <v>68.16</v>
      </c>
      <c r="C172" s="177">
        <v>68.88</v>
      </c>
      <c r="D172" s="177">
        <v>63.91</v>
      </c>
      <c r="E172" s="177">
        <v>65.260000000000005</v>
      </c>
      <c r="G172" s="200"/>
      <c r="H172" s="199">
        <f t="shared" si="24"/>
        <v>15</v>
      </c>
      <c r="I172" s="200">
        <f t="shared" si="25"/>
        <v>-978.90000000000009</v>
      </c>
      <c r="J172" s="199">
        <f t="shared" si="26"/>
        <v>14</v>
      </c>
      <c r="K172" s="200">
        <f t="shared" si="27"/>
        <v>-964.31999999999994</v>
      </c>
      <c r="L172" s="199">
        <f t="shared" si="28"/>
        <v>15</v>
      </c>
      <c r="M172" s="200">
        <f t="shared" si="29"/>
        <v>-958.65</v>
      </c>
      <c r="O172" s="200"/>
      <c r="Q172" s="200"/>
    </row>
    <row r="173" spans="1:17" hidden="1" x14ac:dyDescent="0.4">
      <c r="A173" s="198">
        <v>41182</v>
      </c>
      <c r="B173" s="177">
        <v>68.569999999999993</v>
      </c>
      <c r="C173" s="177">
        <v>70.58</v>
      </c>
      <c r="D173" s="177">
        <v>67.42</v>
      </c>
      <c r="E173" s="177">
        <v>68.03</v>
      </c>
      <c r="G173" s="200"/>
      <c r="H173" s="199">
        <f t="shared" si="24"/>
        <v>14</v>
      </c>
      <c r="I173" s="200">
        <f t="shared" si="25"/>
        <v>-952.42000000000007</v>
      </c>
      <c r="J173" s="199">
        <f t="shared" si="26"/>
        <v>14</v>
      </c>
      <c r="K173" s="200">
        <f t="shared" si="27"/>
        <v>-988.12</v>
      </c>
      <c r="L173" s="199">
        <f t="shared" si="28"/>
        <v>14</v>
      </c>
      <c r="M173" s="200">
        <f t="shared" si="29"/>
        <v>-943.88</v>
      </c>
      <c r="O173" s="200"/>
      <c r="Q173" s="200"/>
    </row>
    <row r="174" spans="1:17" hidden="1" x14ac:dyDescent="0.4">
      <c r="A174" s="198">
        <v>41213</v>
      </c>
      <c r="B174" s="177">
        <v>64.95</v>
      </c>
      <c r="C174" s="177">
        <v>69.8</v>
      </c>
      <c r="D174" s="177">
        <v>64.650000000000006</v>
      </c>
      <c r="E174" s="177">
        <v>68.900000000000006</v>
      </c>
      <c r="G174" s="200"/>
      <c r="H174" s="199">
        <f t="shared" si="24"/>
        <v>14</v>
      </c>
      <c r="I174" s="200">
        <f t="shared" si="25"/>
        <v>-964.60000000000014</v>
      </c>
      <c r="J174" s="199">
        <f t="shared" si="26"/>
        <v>14</v>
      </c>
      <c r="K174" s="200">
        <f t="shared" si="27"/>
        <v>-977.19999999999993</v>
      </c>
      <c r="L174" s="199">
        <f t="shared" si="28"/>
        <v>15</v>
      </c>
      <c r="M174" s="200">
        <f t="shared" si="29"/>
        <v>-969.75000000000011</v>
      </c>
      <c r="O174" s="200"/>
      <c r="Q174" s="200"/>
    </row>
    <row r="175" spans="1:17" hidden="1" x14ac:dyDescent="0.4">
      <c r="A175" s="198">
        <v>41243</v>
      </c>
      <c r="B175" s="177">
        <v>65.8</v>
      </c>
      <c r="C175" s="177">
        <v>66.209999999999994</v>
      </c>
      <c r="D175" s="177">
        <v>61.31</v>
      </c>
      <c r="E175" s="177">
        <v>65.36</v>
      </c>
      <c r="G175" s="200"/>
      <c r="H175" s="199">
        <f t="shared" si="24"/>
        <v>15</v>
      </c>
      <c r="I175" s="200">
        <f t="shared" si="25"/>
        <v>-980.4</v>
      </c>
      <c r="J175" s="199">
        <f t="shared" si="26"/>
        <v>15</v>
      </c>
      <c r="K175" s="200">
        <f t="shared" si="27"/>
        <v>-993.14999999999986</v>
      </c>
      <c r="L175" s="199">
        <f t="shared" si="28"/>
        <v>16</v>
      </c>
      <c r="M175" s="200">
        <f t="shared" si="29"/>
        <v>-980.96</v>
      </c>
      <c r="O175" s="200"/>
      <c r="Q175" s="200"/>
    </row>
    <row r="176" spans="1:17" hidden="1" x14ac:dyDescent="0.4">
      <c r="A176" s="198">
        <v>41274</v>
      </c>
      <c r="B176" s="177">
        <v>65.13</v>
      </c>
      <c r="C176" s="177">
        <v>66.760000000000005</v>
      </c>
      <c r="D176" s="177">
        <v>63.58</v>
      </c>
      <c r="E176" s="177">
        <v>66.31</v>
      </c>
      <c r="G176" s="200"/>
      <c r="H176" s="199">
        <f t="shared" si="24"/>
        <v>15</v>
      </c>
      <c r="I176" s="200">
        <f t="shared" si="25"/>
        <v>-994.65000000000009</v>
      </c>
      <c r="J176" s="199">
        <f t="shared" si="26"/>
        <v>14</v>
      </c>
      <c r="K176" s="200">
        <f t="shared" si="27"/>
        <v>-934.6400000000001</v>
      </c>
      <c r="L176" s="199">
        <f t="shared" si="28"/>
        <v>15</v>
      </c>
      <c r="M176" s="200">
        <f t="shared" si="29"/>
        <v>-953.69999999999993</v>
      </c>
      <c r="O176" s="200"/>
      <c r="Q176" s="200"/>
    </row>
    <row r="177" spans="1:17" hidden="1" x14ac:dyDescent="0.4">
      <c r="A177" s="198">
        <v>41305</v>
      </c>
      <c r="B177" s="177">
        <v>66.87</v>
      </c>
      <c r="C177" s="177">
        <v>67.790000000000006</v>
      </c>
      <c r="D177" s="177">
        <v>66.17</v>
      </c>
      <c r="E177" s="177">
        <v>66.73</v>
      </c>
      <c r="G177" s="200"/>
      <c r="H177" s="199">
        <f t="shared" si="24"/>
        <v>14</v>
      </c>
      <c r="I177" s="200">
        <f t="shared" si="25"/>
        <v>-934.22</v>
      </c>
      <c r="J177" s="199">
        <f t="shared" si="26"/>
        <v>14</v>
      </c>
      <c r="K177" s="200">
        <f t="shared" si="27"/>
        <v>-949.06000000000006</v>
      </c>
      <c r="L177" s="199">
        <f t="shared" si="28"/>
        <v>15</v>
      </c>
      <c r="M177" s="200">
        <f t="shared" si="29"/>
        <v>-992.55000000000007</v>
      </c>
      <c r="N177" s="199">
        <f>INT(N$1/MAX(C177:C188))</f>
        <v>136</v>
      </c>
      <c r="O177" s="200">
        <f>N177*-MAX(C177:C188)</f>
        <v>-11962.56</v>
      </c>
      <c r="P177" s="199">
        <f>INT(P$1/MIN(D177:D188))</f>
        <v>181</v>
      </c>
      <c r="Q177" s="200">
        <f>P177*-MIN(D177:D188)</f>
        <v>-11938.759999999998</v>
      </c>
    </row>
    <row r="178" spans="1:17" hidden="1" x14ac:dyDescent="0.4">
      <c r="A178" s="198">
        <v>41333</v>
      </c>
      <c r="B178" s="177">
        <v>67.099999999999994</v>
      </c>
      <c r="C178" s="177">
        <v>68.260000000000005</v>
      </c>
      <c r="D178" s="177">
        <v>65.959999999999994</v>
      </c>
      <c r="E178" s="177">
        <v>67.34</v>
      </c>
      <c r="G178" s="200"/>
      <c r="H178" s="199">
        <f t="shared" si="24"/>
        <v>14</v>
      </c>
      <c r="I178" s="200">
        <f t="shared" si="25"/>
        <v>-942.76</v>
      </c>
      <c r="J178" s="199">
        <f t="shared" si="26"/>
        <v>14</v>
      </c>
      <c r="K178" s="200">
        <f t="shared" si="27"/>
        <v>-955.6400000000001</v>
      </c>
      <c r="L178" s="199">
        <f t="shared" si="28"/>
        <v>15</v>
      </c>
      <c r="M178" s="200">
        <f t="shared" si="29"/>
        <v>-989.39999999999986</v>
      </c>
      <c r="O178" s="200"/>
      <c r="Q178" s="200"/>
    </row>
    <row r="179" spans="1:17" hidden="1" x14ac:dyDescent="0.4">
      <c r="A179" s="198">
        <v>41364</v>
      </c>
      <c r="B179" s="177">
        <v>68.97</v>
      </c>
      <c r="C179" s="177">
        <v>69.06</v>
      </c>
      <c r="D179" s="177">
        <v>66.540000000000006</v>
      </c>
      <c r="E179" s="177">
        <v>66.87</v>
      </c>
      <c r="G179" s="200"/>
      <c r="H179" s="199">
        <f t="shared" si="24"/>
        <v>14</v>
      </c>
      <c r="I179" s="200">
        <f t="shared" si="25"/>
        <v>-936.18000000000006</v>
      </c>
      <c r="J179" s="199">
        <f t="shared" si="26"/>
        <v>14</v>
      </c>
      <c r="K179" s="200">
        <f t="shared" si="27"/>
        <v>-966.84</v>
      </c>
      <c r="L179" s="199">
        <f t="shared" si="28"/>
        <v>15</v>
      </c>
      <c r="M179" s="200">
        <f t="shared" si="29"/>
        <v>-998.10000000000014</v>
      </c>
      <c r="O179" s="200"/>
      <c r="Q179" s="200"/>
    </row>
    <row r="180" spans="1:17" hidden="1" x14ac:dyDescent="0.4">
      <c r="A180" s="198">
        <v>41394</v>
      </c>
      <c r="B180" s="177">
        <v>70.72</v>
      </c>
      <c r="C180" s="177">
        <v>70.73</v>
      </c>
      <c r="D180" s="177">
        <v>66.88</v>
      </c>
      <c r="E180" s="177">
        <v>69.02</v>
      </c>
      <c r="G180" s="200"/>
      <c r="H180" s="199">
        <f t="shared" si="24"/>
        <v>14</v>
      </c>
      <c r="I180" s="200">
        <f t="shared" si="25"/>
        <v>-966.28</v>
      </c>
      <c r="J180" s="199">
        <f t="shared" si="26"/>
        <v>14</v>
      </c>
      <c r="K180" s="200">
        <f t="shared" si="27"/>
        <v>-990.22</v>
      </c>
      <c r="L180" s="199">
        <f t="shared" si="28"/>
        <v>14</v>
      </c>
      <c r="M180" s="200">
        <f t="shared" si="29"/>
        <v>-936.31999999999994</v>
      </c>
      <c r="O180" s="200"/>
      <c r="Q180" s="200"/>
    </row>
    <row r="181" spans="1:17" hidden="1" x14ac:dyDescent="0.4">
      <c r="A181" s="198">
        <v>41425</v>
      </c>
      <c r="B181" s="177">
        <v>73.25</v>
      </c>
      <c r="C181" s="177">
        <v>74.95</v>
      </c>
      <c r="D181" s="177">
        <v>70.25</v>
      </c>
      <c r="E181" s="177">
        <v>70.739999999999995</v>
      </c>
      <c r="G181" s="200"/>
      <c r="H181" s="199">
        <f t="shared" si="24"/>
        <v>14</v>
      </c>
      <c r="I181" s="200">
        <f t="shared" si="25"/>
        <v>-990.3599999999999</v>
      </c>
      <c r="J181" s="199">
        <f t="shared" si="26"/>
        <v>13</v>
      </c>
      <c r="K181" s="200">
        <f t="shared" si="27"/>
        <v>-974.35</v>
      </c>
      <c r="L181" s="199">
        <f t="shared" si="28"/>
        <v>14</v>
      </c>
      <c r="M181" s="200">
        <f t="shared" si="29"/>
        <v>-983.5</v>
      </c>
      <c r="O181" s="200"/>
      <c r="Q181" s="200"/>
    </row>
    <row r="182" spans="1:17" hidden="1" x14ac:dyDescent="0.4">
      <c r="A182" s="198">
        <v>41455</v>
      </c>
      <c r="B182" s="177">
        <v>71.27</v>
      </c>
      <c r="C182" s="177">
        <v>73.819999999999993</v>
      </c>
      <c r="D182" s="177">
        <v>69.150000000000006</v>
      </c>
      <c r="E182" s="177">
        <v>73.260000000000005</v>
      </c>
      <c r="G182" s="200"/>
      <c r="H182" s="199">
        <f t="shared" si="24"/>
        <v>13</v>
      </c>
      <c r="I182" s="200">
        <f t="shared" si="25"/>
        <v>-952.38000000000011</v>
      </c>
      <c r="J182" s="199">
        <f t="shared" si="26"/>
        <v>13</v>
      </c>
      <c r="K182" s="200">
        <f t="shared" si="27"/>
        <v>-959.65999999999985</v>
      </c>
      <c r="L182" s="199">
        <f t="shared" si="28"/>
        <v>14</v>
      </c>
      <c r="M182" s="200">
        <f t="shared" si="29"/>
        <v>-968.10000000000014</v>
      </c>
      <c r="O182" s="200"/>
      <c r="Q182" s="200"/>
    </row>
    <row r="183" spans="1:17" hidden="1" x14ac:dyDescent="0.4">
      <c r="A183" s="198">
        <v>41486</v>
      </c>
      <c r="B183" s="177">
        <v>75.77</v>
      </c>
      <c r="C183" s="177">
        <v>76.209999999999994</v>
      </c>
      <c r="D183" s="177">
        <v>71.349999999999994</v>
      </c>
      <c r="E183" s="177">
        <v>71.75</v>
      </c>
      <c r="G183" s="200"/>
      <c r="H183" s="199">
        <f t="shared" si="24"/>
        <v>13</v>
      </c>
      <c r="I183" s="200">
        <f t="shared" si="25"/>
        <v>-932.75</v>
      </c>
      <c r="J183" s="199">
        <f t="shared" si="26"/>
        <v>13</v>
      </c>
      <c r="K183" s="200">
        <f t="shared" si="27"/>
        <v>-990.7299999999999</v>
      </c>
      <c r="L183" s="199">
        <f t="shared" si="28"/>
        <v>14</v>
      </c>
      <c r="M183" s="200">
        <f t="shared" si="29"/>
        <v>-998.89999999999986</v>
      </c>
      <c r="O183" s="200"/>
      <c r="Q183" s="200"/>
    </row>
    <row r="184" spans="1:17" hidden="1" x14ac:dyDescent="0.4">
      <c r="A184" s="198">
        <v>41517</v>
      </c>
      <c r="B184" s="177">
        <v>75.47</v>
      </c>
      <c r="C184" s="177">
        <v>77.28</v>
      </c>
      <c r="D184" s="177">
        <v>74.959999999999994</v>
      </c>
      <c r="E184" s="177">
        <v>76.290000000000006</v>
      </c>
      <c r="G184" s="200"/>
      <c r="H184" s="199">
        <f t="shared" si="24"/>
        <v>13</v>
      </c>
      <c r="I184" s="200">
        <f t="shared" si="25"/>
        <v>-991.7700000000001</v>
      </c>
      <c r="J184" s="199">
        <f t="shared" si="26"/>
        <v>12</v>
      </c>
      <c r="K184" s="200">
        <f t="shared" si="27"/>
        <v>-927.36</v>
      </c>
      <c r="L184" s="199">
        <f t="shared" si="28"/>
        <v>13</v>
      </c>
      <c r="M184" s="200">
        <f t="shared" si="29"/>
        <v>-974.4799999999999</v>
      </c>
      <c r="O184" s="200"/>
      <c r="Q184" s="200"/>
    </row>
    <row r="185" spans="1:17" hidden="1" x14ac:dyDescent="0.4">
      <c r="A185" s="198">
        <v>41547</v>
      </c>
      <c r="B185" s="177">
        <v>78.88</v>
      </c>
      <c r="C185" s="177">
        <v>79.680000000000007</v>
      </c>
      <c r="D185" s="177">
        <v>75.540000000000006</v>
      </c>
      <c r="E185" s="177">
        <v>76.09</v>
      </c>
      <c r="G185" s="200"/>
      <c r="H185" s="199">
        <f t="shared" si="24"/>
        <v>13</v>
      </c>
      <c r="I185" s="200">
        <f t="shared" si="25"/>
        <v>-989.17000000000007</v>
      </c>
      <c r="J185" s="199">
        <f t="shared" si="26"/>
        <v>12</v>
      </c>
      <c r="K185" s="200">
        <f t="shared" si="27"/>
        <v>-956.16000000000008</v>
      </c>
      <c r="L185" s="199">
        <f t="shared" si="28"/>
        <v>13</v>
      </c>
      <c r="M185" s="200">
        <f t="shared" si="29"/>
        <v>-982.0200000000001</v>
      </c>
      <c r="O185" s="200"/>
      <c r="Q185" s="200"/>
    </row>
    <row r="186" spans="1:17" hidden="1" x14ac:dyDescent="0.4">
      <c r="A186" s="198">
        <v>41578</v>
      </c>
      <c r="B186" s="177">
        <v>82.79</v>
      </c>
      <c r="C186" s="177">
        <v>83.49</v>
      </c>
      <c r="D186" s="177">
        <v>76.349999999999994</v>
      </c>
      <c r="E186" s="177">
        <v>78.89</v>
      </c>
      <c r="G186" s="200"/>
      <c r="H186" s="199">
        <f t="shared" si="24"/>
        <v>12</v>
      </c>
      <c r="I186" s="200">
        <f t="shared" si="25"/>
        <v>-946.68000000000006</v>
      </c>
      <c r="J186" s="199">
        <f t="shared" si="26"/>
        <v>11</v>
      </c>
      <c r="K186" s="200">
        <f t="shared" si="27"/>
        <v>-918.39</v>
      </c>
      <c r="L186" s="199">
        <f t="shared" si="28"/>
        <v>13</v>
      </c>
      <c r="M186" s="200">
        <f t="shared" si="29"/>
        <v>-992.55</v>
      </c>
      <c r="O186" s="200"/>
      <c r="Q186" s="200"/>
    </row>
    <row r="187" spans="1:17" hidden="1" x14ac:dyDescent="0.4">
      <c r="A187" s="198">
        <v>41608</v>
      </c>
      <c r="B187" s="177">
        <v>85.73</v>
      </c>
      <c r="C187" s="177">
        <v>85.84</v>
      </c>
      <c r="D187" s="177">
        <v>81.37</v>
      </c>
      <c r="E187" s="177">
        <v>83.07</v>
      </c>
      <c r="G187" s="200"/>
      <c r="H187" s="199">
        <f t="shared" si="24"/>
        <v>12</v>
      </c>
      <c r="I187" s="200">
        <f t="shared" si="25"/>
        <v>-996.83999999999992</v>
      </c>
      <c r="J187" s="199">
        <f t="shared" si="26"/>
        <v>11</v>
      </c>
      <c r="K187" s="200">
        <f t="shared" si="27"/>
        <v>-944.24</v>
      </c>
      <c r="L187" s="199">
        <f t="shared" si="28"/>
        <v>12</v>
      </c>
      <c r="M187" s="200">
        <f t="shared" si="29"/>
        <v>-976.44</v>
      </c>
      <c r="O187" s="200"/>
      <c r="Q187" s="200"/>
    </row>
    <row r="188" spans="1:17" hidden="1" x14ac:dyDescent="0.4">
      <c r="A188" s="198">
        <v>41639</v>
      </c>
      <c r="B188" s="177">
        <v>87.96</v>
      </c>
      <c r="C188" s="177">
        <v>87.96</v>
      </c>
      <c r="D188" s="177">
        <v>84.05</v>
      </c>
      <c r="E188" s="177">
        <v>85.82</v>
      </c>
      <c r="G188" s="200"/>
      <c r="H188" s="199">
        <f t="shared" si="24"/>
        <v>11</v>
      </c>
      <c r="I188" s="200">
        <f t="shared" si="25"/>
        <v>-944.02</v>
      </c>
      <c r="J188" s="199">
        <f t="shared" si="26"/>
        <v>11</v>
      </c>
      <c r="K188" s="200">
        <f t="shared" si="27"/>
        <v>-967.56</v>
      </c>
      <c r="L188" s="199">
        <f t="shared" si="28"/>
        <v>11</v>
      </c>
      <c r="M188" s="200">
        <f t="shared" si="29"/>
        <v>-924.55</v>
      </c>
      <c r="O188" s="200"/>
      <c r="Q188" s="200"/>
    </row>
    <row r="189" spans="1:17" hidden="1" x14ac:dyDescent="0.4">
      <c r="A189" s="198">
        <v>41670</v>
      </c>
      <c r="B189" s="177">
        <v>86.27</v>
      </c>
      <c r="C189" s="177">
        <v>89</v>
      </c>
      <c r="D189" s="177">
        <v>84.76</v>
      </c>
      <c r="E189" s="177">
        <v>87.56</v>
      </c>
      <c r="G189" s="200"/>
      <c r="H189" s="199">
        <f t="shared" si="24"/>
        <v>11</v>
      </c>
      <c r="I189" s="200">
        <f t="shared" si="25"/>
        <v>-963.16000000000008</v>
      </c>
      <c r="J189" s="199">
        <f t="shared" si="26"/>
        <v>11</v>
      </c>
      <c r="K189" s="200">
        <f t="shared" si="27"/>
        <v>-979</v>
      </c>
      <c r="L189" s="199">
        <f t="shared" si="28"/>
        <v>11</v>
      </c>
      <c r="M189" s="200">
        <f t="shared" si="29"/>
        <v>-932.36</v>
      </c>
      <c r="N189" s="199">
        <f>INT(N$1/MAX(C189:C200))</f>
        <v>112</v>
      </c>
      <c r="O189" s="200">
        <f>N189*-MAX(C189:C200)</f>
        <v>-11900</v>
      </c>
      <c r="P189" s="199">
        <f>INT(P$1/MIN(D189:D200))</f>
        <v>144</v>
      </c>
      <c r="Q189" s="200">
        <f>P189*-MIN(D189:D200)</f>
        <v>-11992.32</v>
      </c>
    </row>
    <row r="190" spans="1:17" hidden="1" x14ac:dyDescent="0.4">
      <c r="A190" s="198">
        <v>41698</v>
      </c>
      <c r="B190" s="177">
        <v>90.34</v>
      </c>
      <c r="C190" s="177">
        <v>90.96</v>
      </c>
      <c r="D190" s="177">
        <v>83.74</v>
      </c>
      <c r="E190" s="177">
        <v>86.11</v>
      </c>
      <c r="G190" s="200"/>
      <c r="H190" s="199">
        <f t="shared" si="24"/>
        <v>11</v>
      </c>
      <c r="I190" s="200">
        <f t="shared" si="25"/>
        <v>-947.21</v>
      </c>
      <c r="J190" s="199">
        <f t="shared" si="26"/>
        <v>10</v>
      </c>
      <c r="K190" s="200">
        <f t="shared" si="27"/>
        <v>-909.59999999999991</v>
      </c>
      <c r="L190" s="199">
        <f t="shared" si="28"/>
        <v>11</v>
      </c>
      <c r="M190" s="200">
        <f t="shared" si="29"/>
        <v>-921.14</v>
      </c>
      <c r="O190" s="200"/>
      <c r="Q190" s="200"/>
    </row>
    <row r="191" spans="1:17" hidden="1" x14ac:dyDescent="0.4">
      <c r="A191" s="198">
        <v>41729</v>
      </c>
      <c r="B191" s="177">
        <v>87.67</v>
      </c>
      <c r="C191" s="177">
        <v>91.36</v>
      </c>
      <c r="D191" s="177">
        <v>86.4</v>
      </c>
      <c r="E191" s="177">
        <v>89.49</v>
      </c>
      <c r="G191" s="200"/>
      <c r="H191" s="199">
        <f t="shared" si="24"/>
        <v>11</v>
      </c>
      <c r="I191" s="200">
        <f t="shared" si="25"/>
        <v>-984.39</v>
      </c>
      <c r="J191" s="199">
        <f t="shared" si="26"/>
        <v>10</v>
      </c>
      <c r="K191" s="200">
        <f t="shared" si="27"/>
        <v>-913.6</v>
      </c>
      <c r="L191" s="199">
        <f t="shared" si="28"/>
        <v>11</v>
      </c>
      <c r="M191" s="200">
        <f t="shared" si="29"/>
        <v>-950.40000000000009</v>
      </c>
      <c r="O191" s="200"/>
      <c r="Q191" s="200"/>
    </row>
    <row r="192" spans="1:17" hidden="1" x14ac:dyDescent="0.4">
      <c r="A192" s="198">
        <v>41759</v>
      </c>
      <c r="B192" s="177">
        <v>87.39</v>
      </c>
      <c r="C192" s="177">
        <v>89.68</v>
      </c>
      <c r="D192" s="177">
        <v>83.28</v>
      </c>
      <c r="E192" s="177">
        <v>88.08</v>
      </c>
      <c r="G192" s="200"/>
      <c r="H192" s="199">
        <f t="shared" si="24"/>
        <v>11</v>
      </c>
      <c r="I192" s="200">
        <f t="shared" si="25"/>
        <v>-968.88</v>
      </c>
      <c r="J192" s="199">
        <f t="shared" si="26"/>
        <v>11</v>
      </c>
      <c r="K192" s="200">
        <f t="shared" si="27"/>
        <v>-986.48</v>
      </c>
      <c r="L192" s="199">
        <f t="shared" si="28"/>
        <v>12</v>
      </c>
      <c r="M192" s="200">
        <f t="shared" si="29"/>
        <v>-999.36</v>
      </c>
      <c r="O192" s="200"/>
      <c r="Q192" s="200"/>
    </row>
    <row r="193" spans="1:17" hidden="1" x14ac:dyDescent="0.4">
      <c r="A193" s="198">
        <v>41790</v>
      </c>
      <c r="B193" s="177">
        <v>91.31</v>
      </c>
      <c r="C193" s="177">
        <v>91.45</v>
      </c>
      <c r="D193" s="177">
        <v>85.53</v>
      </c>
      <c r="E193" s="177">
        <v>87.53</v>
      </c>
      <c r="G193" s="200"/>
      <c r="H193" s="199">
        <f t="shared" si="24"/>
        <v>11</v>
      </c>
      <c r="I193" s="200">
        <f t="shared" si="25"/>
        <v>-962.83</v>
      </c>
      <c r="J193" s="199">
        <f t="shared" si="26"/>
        <v>10</v>
      </c>
      <c r="K193" s="200">
        <f t="shared" si="27"/>
        <v>-914.5</v>
      </c>
      <c r="L193" s="199">
        <f t="shared" si="28"/>
        <v>11</v>
      </c>
      <c r="M193" s="200">
        <f t="shared" si="29"/>
        <v>-940.83</v>
      </c>
      <c r="O193" s="200"/>
      <c r="Q193" s="200"/>
    </row>
    <row r="194" spans="1:17" hidden="1" x14ac:dyDescent="0.4">
      <c r="A194" s="198">
        <v>41820</v>
      </c>
      <c r="B194" s="177">
        <v>93.91</v>
      </c>
      <c r="C194" s="177">
        <v>94.14</v>
      </c>
      <c r="D194" s="177">
        <v>90.64</v>
      </c>
      <c r="E194" s="177">
        <v>91.42</v>
      </c>
      <c r="G194" s="200"/>
      <c r="H194" s="199">
        <f t="shared" si="24"/>
        <v>10</v>
      </c>
      <c r="I194" s="200">
        <f t="shared" si="25"/>
        <v>-914.2</v>
      </c>
      <c r="J194" s="199">
        <f t="shared" si="26"/>
        <v>10</v>
      </c>
      <c r="K194" s="200">
        <f t="shared" si="27"/>
        <v>-941.4</v>
      </c>
      <c r="L194" s="199">
        <f t="shared" si="28"/>
        <v>11</v>
      </c>
      <c r="M194" s="200">
        <f t="shared" si="29"/>
        <v>-997.04</v>
      </c>
      <c r="O194" s="200"/>
      <c r="Q194" s="200"/>
    </row>
    <row r="195" spans="1:17" hidden="1" x14ac:dyDescent="0.4">
      <c r="A195" s="198">
        <v>41851</v>
      </c>
      <c r="B195" s="177">
        <v>95.02</v>
      </c>
      <c r="C195" s="177">
        <v>97.51</v>
      </c>
      <c r="D195" s="177">
        <v>93.63</v>
      </c>
      <c r="E195" s="177">
        <v>94.24</v>
      </c>
      <c r="G195" s="200"/>
      <c r="H195" s="199">
        <f t="shared" si="24"/>
        <v>10</v>
      </c>
      <c r="I195" s="200">
        <f t="shared" si="25"/>
        <v>-942.4</v>
      </c>
      <c r="J195" s="199">
        <f t="shared" si="26"/>
        <v>10</v>
      </c>
      <c r="K195" s="200">
        <f t="shared" si="27"/>
        <v>-975.1</v>
      </c>
      <c r="L195" s="199">
        <f t="shared" si="28"/>
        <v>10</v>
      </c>
      <c r="M195" s="200">
        <f t="shared" si="29"/>
        <v>-936.3</v>
      </c>
      <c r="O195" s="200"/>
      <c r="Q195" s="200"/>
    </row>
    <row r="196" spans="1:17" hidden="1" x14ac:dyDescent="0.4">
      <c r="A196" s="198">
        <v>41882</v>
      </c>
      <c r="B196" s="177">
        <v>99.78</v>
      </c>
      <c r="C196" s="177">
        <v>99.91</v>
      </c>
      <c r="D196" s="177">
        <v>93.89</v>
      </c>
      <c r="E196" s="177">
        <v>94.82</v>
      </c>
      <c r="G196" s="200"/>
      <c r="H196" s="199">
        <f t="shared" si="24"/>
        <v>10</v>
      </c>
      <c r="I196" s="200">
        <f t="shared" si="25"/>
        <v>-948.19999999999993</v>
      </c>
      <c r="J196" s="199">
        <f t="shared" si="26"/>
        <v>10</v>
      </c>
      <c r="K196" s="200">
        <f t="shared" si="27"/>
        <v>-999.09999999999991</v>
      </c>
      <c r="L196" s="199">
        <f t="shared" si="28"/>
        <v>10</v>
      </c>
      <c r="M196" s="200">
        <f t="shared" si="29"/>
        <v>-938.9</v>
      </c>
      <c r="O196" s="200"/>
      <c r="Q196" s="200"/>
    </row>
    <row r="197" spans="1:17" hidden="1" x14ac:dyDescent="0.4">
      <c r="A197" s="198">
        <v>41912</v>
      </c>
      <c r="B197" s="177">
        <v>98.79</v>
      </c>
      <c r="C197" s="177">
        <v>100.56</v>
      </c>
      <c r="D197" s="177">
        <v>97.7</v>
      </c>
      <c r="E197" s="177">
        <v>100.02</v>
      </c>
      <c r="G197" s="200"/>
      <c r="H197" s="199">
        <f t="shared" si="24"/>
        <v>9</v>
      </c>
      <c r="I197" s="200">
        <f t="shared" si="25"/>
        <v>-900.18</v>
      </c>
      <c r="J197" s="199">
        <f t="shared" si="26"/>
        <v>9</v>
      </c>
      <c r="K197" s="200">
        <f t="shared" si="27"/>
        <v>-905.04</v>
      </c>
      <c r="L197" s="199">
        <f t="shared" si="28"/>
        <v>10</v>
      </c>
      <c r="M197" s="200">
        <f t="shared" si="29"/>
        <v>-977</v>
      </c>
      <c r="O197" s="200"/>
      <c r="Q197" s="200"/>
    </row>
    <row r="198" spans="1:17" hidden="1" x14ac:dyDescent="0.4">
      <c r="A198" s="198">
        <v>41943</v>
      </c>
      <c r="B198" s="177">
        <v>101.4</v>
      </c>
      <c r="C198" s="177">
        <v>101.75</v>
      </c>
      <c r="D198" s="177">
        <v>90.24</v>
      </c>
      <c r="E198" s="177">
        <v>98.54</v>
      </c>
      <c r="G198" s="200"/>
      <c r="H198" s="199">
        <f t="shared" si="24"/>
        <v>10</v>
      </c>
      <c r="I198" s="200">
        <f t="shared" si="25"/>
        <v>-985.40000000000009</v>
      </c>
      <c r="J198" s="199">
        <f t="shared" si="26"/>
        <v>9</v>
      </c>
      <c r="K198" s="200">
        <f t="shared" si="27"/>
        <v>-915.75</v>
      </c>
      <c r="L198" s="199">
        <f t="shared" si="28"/>
        <v>11</v>
      </c>
      <c r="M198" s="200">
        <f t="shared" si="29"/>
        <v>-992.64</v>
      </c>
      <c r="O198" s="200"/>
      <c r="Q198" s="200"/>
    </row>
    <row r="199" spans="1:17" hidden="1" x14ac:dyDescent="0.4">
      <c r="A199" s="198">
        <v>41973</v>
      </c>
      <c r="B199" s="177">
        <v>106.01</v>
      </c>
      <c r="C199" s="177">
        <v>106.25</v>
      </c>
      <c r="D199" s="177">
        <v>100.67</v>
      </c>
      <c r="E199" s="177">
        <v>101.53</v>
      </c>
      <c r="G199" s="200"/>
      <c r="H199" s="199">
        <f t="shared" si="24"/>
        <v>9</v>
      </c>
      <c r="I199" s="200">
        <f t="shared" si="25"/>
        <v>-913.77</v>
      </c>
      <c r="J199" s="199">
        <f t="shared" si="26"/>
        <v>9</v>
      </c>
      <c r="K199" s="200">
        <f t="shared" si="27"/>
        <v>-956.25</v>
      </c>
      <c r="L199" s="199">
        <f t="shared" si="28"/>
        <v>9</v>
      </c>
      <c r="M199" s="200">
        <f t="shared" si="29"/>
        <v>-906.03</v>
      </c>
      <c r="O199" s="200"/>
      <c r="Q199" s="200"/>
    </row>
    <row r="200" spans="1:17" hidden="1" x14ac:dyDescent="0.4">
      <c r="A200" s="198">
        <v>42004</v>
      </c>
      <c r="B200" s="177">
        <v>103.25</v>
      </c>
      <c r="C200" s="177">
        <v>105.92</v>
      </c>
      <c r="D200" s="177">
        <v>99.92</v>
      </c>
      <c r="E200" s="177">
        <v>105.72</v>
      </c>
      <c r="G200" s="200"/>
      <c r="H200" s="199">
        <f t="shared" si="24"/>
        <v>9</v>
      </c>
      <c r="I200" s="200">
        <f t="shared" si="25"/>
        <v>-951.48</v>
      </c>
      <c r="J200" s="199">
        <f t="shared" si="26"/>
        <v>9</v>
      </c>
      <c r="K200" s="200">
        <f t="shared" si="27"/>
        <v>-953.28</v>
      </c>
      <c r="L200" s="199">
        <f t="shared" si="28"/>
        <v>10</v>
      </c>
      <c r="M200" s="200">
        <f t="shared" si="29"/>
        <v>-999.2</v>
      </c>
      <c r="O200" s="200"/>
      <c r="Q200" s="200"/>
    </row>
    <row r="201" spans="1:17" hidden="1" x14ac:dyDescent="0.4">
      <c r="A201" s="198">
        <v>42035</v>
      </c>
      <c r="B201" s="177">
        <v>101.1</v>
      </c>
      <c r="C201" s="177">
        <v>104.58</v>
      </c>
      <c r="D201" s="177">
        <v>99.36</v>
      </c>
      <c r="E201" s="177">
        <v>103.76</v>
      </c>
      <c r="G201" s="200"/>
      <c r="H201" s="199">
        <f t="shared" si="24"/>
        <v>9</v>
      </c>
      <c r="I201" s="200">
        <f t="shared" si="25"/>
        <v>-933.84</v>
      </c>
      <c r="J201" s="199">
        <f t="shared" si="26"/>
        <v>9</v>
      </c>
      <c r="K201" s="200">
        <f t="shared" si="27"/>
        <v>-941.22</v>
      </c>
      <c r="L201" s="199">
        <f t="shared" si="28"/>
        <v>10</v>
      </c>
      <c r="M201" s="200">
        <f t="shared" si="29"/>
        <v>-993.6</v>
      </c>
      <c r="N201" s="199">
        <f>INT(N$1/MAX(C201:C212))</f>
        <v>103</v>
      </c>
      <c r="O201" s="200">
        <f>N201*-MAX(C201:C212)</f>
        <v>-11922.25</v>
      </c>
      <c r="P201" s="199">
        <f>INT(P$1/MIN(D201:D212))</f>
        <v>141</v>
      </c>
      <c r="Q201" s="200">
        <f>P201*-MIN(D201:D212)</f>
        <v>-11948.34</v>
      </c>
    </row>
    <row r="202" spans="1:17" hidden="1" x14ac:dyDescent="0.4">
      <c r="A202" s="198">
        <v>42063</v>
      </c>
      <c r="B202" s="177">
        <v>108.4</v>
      </c>
      <c r="C202" s="177">
        <v>108.94</v>
      </c>
      <c r="D202" s="177">
        <v>99.75</v>
      </c>
      <c r="E202" s="177">
        <v>101.33</v>
      </c>
      <c r="G202" s="200"/>
      <c r="H202" s="199">
        <f t="shared" si="24"/>
        <v>9</v>
      </c>
      <c r="I202" s="200">
        <f t="shared" si="25"/>
        <v>-911.97</v>
      </c>
      <c r="J202" s="199">
        <f t="shared" si="26"/>
        <v>9</v>
      </c>
      <c r="K202" s="200">
        <f t="shared" si="27"/>
        <v>-980.46</v>
      </c>
      <c r="L202" s="199">
        <f t="shared" si="28"/>
        <v>10</v>
      </c>
      <c r="M202" s="200">
        <f t="shared" si="29"/>
        <v>-997.5</v>
      </c>
      <c r="O202" s="200"/>
      <c r="Q202" s="200"/>
    </row>
    <row r="203" spans="1:17" hidden="1" x14ac:dyDescent="0.4">
      <c r="A203" s="198">
        <v>42094</v>
      </c>
      <c r="B203" s="177">
        <v>105.6</v>
      </c>
      <c r="C203" s="177">
        <v>109.42</v>
      </c>
      <c r="D203" s="177">
        <v>104.24</v>
      </c>
      <c r="E203" s="177">
        <v>108.61</v>
      </c>
      <c r="G203" s="200"/>
      <c r="H203" s="199">
        <f t="shared" ref="H203:H266" si="30">INT(H$1/$E203)</f>
        <v>9</v>
      </c>
      <c r="I203" s="200">
        <f t="shared" ref="I203:I266" si="31">-H203*E203</f>
        <v>-977.49</v>
      </c>
      <c r="J203" s="199">
        <f t="shared" si="26"/>
        <v>9</v>
      </c>
      <c r="K203" s="200">
        <f t="shared" si="27"/>
        <v>-984.78</v>
      </c>
      <c r="L203" s="199">
        <f t="shared" si="28"/>
        <v>9</v>
      </c>
      <c r="M203" s="200">
        <f t="shared" si="29"/>
        <v>-938.16</v>
      </c>
      <c r="O203" s="200"/>
      <c r="Q203" s="200"/>
    </row>
    <row r="204" spans="1:17" hidden="1" x14ac:dyDescent="0.4">
      <c r="A204" s="198">
        <v>42124</v>
      </c>
      <c r="B204" s="177">
        <v>107.63</v>
      </c>
      <c r="C204" s="177">
        <v>111.16</v>
      </c>
      <c r="D204" s="177">
        <v>104.34</v>
      </c>
      <c r="E204" s="177">
        <v>105.6</v>
      </c>
      <c r="G204" s="200"/>
      <c r="H204" s="199">
        <f t="shared" si="30"/>
        <v>9</v>
      </c>
      <c r="I204" s="200">
        <f t="shared" si="31"/>
        <v>-950.4</v>
      </c>
      <c r="J204" s="199">
        <f t="shared" si="26"/>
        <v>8</v>
      </c>
      <c r="K204" s="200">
        <f t="shared" si="27"/>
        <v>-889.28</v>
      </c>
      <c r="L204" s="199">
        <f t="shared" si="28"/>
        <v>9</v>
      </c>
      <c r="M204" s="200">
        <f t="shared" si="29"/>
        <v>-939.06000000000006</v>
      </c>
      <c r="O204" s="200"/>
      <c r="Q204" s="200"/>
    </row>
    <row r="205" spans="1:17" hidden="1" x14ac:dyDescent="0.4">
      <c r="A205" s="198">
        <v>42155</v>
      </c>
      <c r="B205" s="177">
        <v>110.05</v>
      </c>
      <c r="C205" s="177">
        <v>111.08</v>
      </c>
      <c r="D205" s="177">
        <v>106</v>
      </c>
      <c r="E205" s="177">
        <v>108.05</v>
      </c>
      <c r="G205" s="200"/>
      <c r="H205" s="199">
        <f t="shared" si="30"/>
        <v>9</v>
      </c>
      <c r="I205" s="200">
        <f t="shared" si="31"/>
        <v>-972.44999999999993</v>
      </c>
      <c r="J205" s="199">
        <f t="shared" si="26"/>
        <v>9</v>
      </c>
      <c r="K205" s="200">
        <f t="shared" si="27"/>
        <v>-999.72</v>
      </c>
      <c r="L205" s="199">
        <f t="shared" si="28"/>
        <v>9</v>
      </c>
      <c r="M205" s="200">
        <f t="shared" si="29"/>
        <v>-954</v>
      </c>
      <c r="O205" s="200"/>
      <c r="Q205" s="200"/>
    </row>
    <row r="206" spans="1:17" hidden="1" x14ac:dyDescent="0.4">
      <c r="A206" s="198">
        <v>42185</v>
      </c>
      <c r="B206" s="177">
        <v>107.07</v>
      </c>
      <c r="C206" s="177">
        <v>111.13</v>
      </c>
      <c r="D206" s="177">
        <v>106.64</v>
      </c>
      <c r="E206" s="177">
        <v>110.64</v>
      </c>
      <c r="G206" s="200"/>
      <c r="H206" s="199">
        <f t="shared" si="30"/>
        <v>9</v>
      </c>
      <c r="I206" s="200">
        <f t="shared" si="31"/>
        <v>-995.76</v>
      </c>
      <c r="J206" s="199">
        <f t="shared" ref="J206:J269" si="32">INT(J$1/$C206)</f>
        <v>8</v>
      </c>
      <c r="K206" s="200">
        <f t="shared" ref="K206:K269" si="33">-J206*$C206</f>
        <v>-889.04</v>
      </c>
      <c r="L206" s="199">
        <f t="shared" si="28"/>
        <v>9</v>
      </c>
      <c r="M206" s="200">
        <f t="shared" si="29"/>
        <v>-959.76</v>
      </c>
      <c r="O206" s="200"/>
      <c r="Q206" s="200"/>
    </row>
    <row r="207" spans="1:17" hidden="1" x14ac:dyDescent="0.4">
      <c r="A207" s="198">
        <v>42216</v>
      </c>
      <c r="B207" s="177">
        <v>111.95</v>
      </c>
      <c r="C207" s="177">
        <v>114.39</v>
      </c>
      <c r="D207" s="177">
        <v>105.83</v>
      </c>
      <c r="E207" s="177">
        <v>108.13</v>
      </c>
      <c r="G207" s="200"/>
      <c r="H207" s="199">
        <f t="shared" si="30"/>
        <v>9</v>
      </c>
      <c r="I207" s="200">
        <f t="shared" si="31"/>
        <v>-973.17</v>
      </c>
      <c r="J207" s="199">
        <f t="shared" si="32"/>
        <v>8</v>
      </c>
      <c r="K207" s="200">
        <f t="shared" si="33"/>
        <v>-915.12</v>
      </c>
      <c r="L207" s="199">
        <f t="shared" ref="L207:L270" si="34">INT(L$1/$D207)</f>
        <v>9</v>
      </c>
      <c r="M207" s="200">
        <f t="shared" ref="M207:M270" si="35">-L207*$D207</f>
        <v>-952.47</v>
      </c>
      <c r="O207" s="200"/>
      <c r="Q207" s="200"/>
    </row>
    <row r="208" spans="1:17" hidden="1" x14ac:dyDescent="0.4">
      <c r="A208" s="198">
        <v>42247</v>
      </c>
      <c r="B208" s="177">
        <v>104.31</v>
      </c>
      <c r="C208" s="177">
        <v>113</v>
      </c>
      <c r="D208" s="177">
        <v>84.74</v>
      </c>
      <c r="E208" s="177">
        <v>111.97</v>
      </c>
      <c r="G208" s="200"/>
      <c r="H208" s="199">
        <f t="shared" si="30"/>
        <v>8</v>
      </c>
      <c r="I208" s="200">
        <f t="shared" si="31"/>
        <v>-895.76</v>
      </c>
      <c r="J208" s="199">
        <f t="shared" si="32"/>
        <v>8</v>
      </c>
      <c r="K208" s="200">
        <f t="shared" si="33"/>
        <v>-904</v>
      </c>
      <c r="L208" s="199">
        <f t="shared" si="34"/>
        <v>11</v>
      </c>
      <c r="M208" s="200">
        <f t="shared" si="35"/>
        <v>-932.14</v>
      </c>
      <c r="O208" s="200"/>
      <c r="Q208" s="200"/>
    </row>
    <row r="209" spans="1:17" hidden="1" x14ac:dyDescent="0.4">
      <c r="A209" s="198">
        <v>42277</v>
      </c>
      <c r="B209" s="177">
        <v>101.76</v>
      </c>
      <c r="C209" s="177">
        <v>108.73</v>
      </c>
      <c r="D209" s="177">
        <v>98.75</v>
      </c>
      <c r="E209" s="177">
        <v>101.71</v>
      </c>
      <c r="G209" s="200"/>
      <c r="H209" s="199">
        <f t="shared" si="30"/>
        <v>9</v>
      </c>
      <c r="I209" s="200">
        <f t="shared" si="31"/>
        <v>-915.39</v>
      </c>
      <c r="J209" s="199">
        <f t="shared" si="32"/>
        <v>9</v>
      </c>
      <c r="K209" s="200">
        <f t="shared" si="33"/>
        <v>-978.57</v>
      </c>
      <c r="L209" s="199">
        <f t="shared" si="34"/>
        <v>10</v>
      </c>
      <c r="M209" s="200">
        <f t="shared" si="35"/>
        <v>-987.5</v>
      </c>
      <c r="O209" s="200"/>
      <c r="Q209" s="200"/>
    </row>
    <row r="210" spans="1:17" hidden="1" x14ac:dyDescent="0.4">
      <c r="A210" s="198">
        <v>42308</v>
      </c>
      <c r="B210" s="177">
        <v>113.33</v>
      </c>
      <c r="C210" s="177">
        <v>114.08</v>
      </c>
      <c r="D210" s="177">
        <v>100.48</v>
      </c>
      <c r="E210" s="177">
        <v>101.94</v>
      </c>
      <c r="G210" s="200"/>
      <c r="H210" s="199">
        <f t="shared" si="30"/>
        <v>9</v>
      </c>
      <c r="I210" s="200">
        <f t="shared" si="31"/>
        <v>-917.46</v>
      </c>
      <c r="J210" s="199">
        <f t="shared" si="32"/>
        <v>8</v>
      </c>
      <c r="K210" s="200">
        <f t="shared" si="33"/>
        <v>-912.64</v>
      </c>
      <c r="L210" s="199">
        <f t="shared" si="34"/>
        <v>9</v>
      </c>
      <c r="M210" s="200">
        <f t="shared" si="35"/>
        <v>-904.32</v>
      </c>
      <c r="O210" s="200"/>
      <c r="Q210" s="200"/>
    </row>
    <row r="211" spans="1:17" hidden="1" x14ac:dyDescent="0.4">
      <c r="A211" s="198">
        <v>42338</v>
      </c>
      <c r="B211" s="177">
        <v>114.02</v>
      </c>
      <c r="C211" s="177">
        <v>115.47</v>
      </c>
      <c r="D211" s="177">
        <v>109.48</v>
      </c>
      <c r="E211" s="177">
        <v>113.63</v>
      </c>
      <c r="G211" s="200"/>
      <c r="H211" s="199">
        <f t="shared" si="30"/>
        <v>8</v>
      </c>
      <c r="I211" s="200">
        <f t="shared" si="31"/>
        <v>-909.04</v>
      </c>
      <c r="J211" s="199">
        <f t="shared" si="32"/>
        <v>8</v>
      </c>
      <c r="K211" s="200">
        <f t="shared" si="33"/>
        <v>-923.76</v>
      </c>
      <c r="L211" s="199">
        <f t="shared" si="34"/>
        <v>9</v>
      </c>
      <c r="M211" s="200">
        <f t="shared" si="35"/>
        <v>-985.32</v>
      </c>
      <c r="O211" s="200"/>
      <c r="Q211" s="200"/>
    </row>
    <row r="212" spans="1:17" hidden="1" x14ac:dyDescent="0.4">
      <c r="A212" s="198">
        <v>42369</v>
      </c>
      <c r="B212" s="177">
        <v>111.86</v>
      </c>
      <c r="C212" s="177">
        <v>115.75</v>
      </c>
      <c r="D212" s="177">
        <v>109.38</v>
      </c>
      <c r="E212" s="177">
        <v>114.48</v>
      </c>
      <c r="G212" s="200"/>
      <c r="H212" s="199">
        <f t="shared" si="30"/>
        <v>8</v>
      </c>
      <c r="I212" s="200">
        <f t="shared" si="31"/>
        <v>-915.84</v>
      </c>
      <c r="J212" s="199">
        <f t="shared" si="32"/>
        <v>8</v>
      </c>
      <c r="K212" s="200">
        <f t="shared" si="33"/>
        <v>-926</v>
      </c>
      <c r="L212" s="199">
        <f t="shared" si="34"/>
        <v>9</v>
      </c>
      <c r="M212" s="200">
        <f t="shared" si="35"/>
        <v>-984.42</v>
      </c>
      <c r="O212" s="200"/>
      <c r="Q212" s="200"/>
    </row>
    <row r="213" spans="1:17" hidden="1" x14ac:dyDescent="0.4">
      <c r="A213" s="198">
        <v>42400</v>
      </c>
      <c r="B213" s="177">
        <v>104.13</v>
      </c>
      <c r="C213" s="177">
        <v>110.18</v>
      </c>
      <c r="D213" s="177">
        <v>97.25</v>
      </c>
      <c r="E213" s="177">
        <v>109.43</v>
      </c>
      <c r="G213" s="200"/>
      <c r="H213" s="199">
        <f t="shared" si="30"/>
        <v>9</v>
      </c>
      <c r="I213" s="200">
        <f t="shared" si="31"/>
        <v>-984.87000000000012</v>
      </c>
      <c r="J213" s="199">
        <f t="shared" si="32"/>
        <v>9</v>
      </c>
      <c r="K213" s="200">
        <f t="shared" si="33"/>
        <v>-991.62000000000012</v>
      </c>
      <c r="L213" s="199">
        <f t="shared" si="34"/>
        <v>10</v>
      </c>
      <c r="M213" s="200">
        <f t="shared" si="35"/>
        <v>-972.5</v>
      </c>
      <c r="N213" s="199">
        <f>INT(N$1/MAX(C213:C224))</f>
        <v>98</v>
      </c>
      <c r="O213" s="200">
        <f>N213*-MAX(C213:C224)</f>
        <v>-11908.96</v>
      </c>
      <c r="P213" s="199">
        <f>INT(P$1/MIN(D213:D224))</f>
        <v>126</v>
      </c>
      <c r="Q213" s="200">
        <f>P213*-MIN(D213:D224)</f>
        <v>-11949.84</v>
      </c>
    </row>
    <row r="214" spans="1:17" hidden="1" x14ac:dyDescent="0.4">
      <c r="A214" s="198">
        <v>42429</v>
      </c>
      <c r="B214" s="177">
        <v>102.5</v>
      </c>
      <c r="C214" s="177">
        <v>104.8</v>
      </c>
      <c r="D214" s="177">
        <v>94.84</v>
      </c>
      <c r="E214" s="177">
        <v>103.62</v>
      </c>
      <c r="G214" s="200"/>
      <c r="H214" s="199">
        <f t="shared" si="30"/>
        <v>9</v>
      </c>
      <c r="I214" s="200">
        <f t="shared" si="31"/>
        <v>-932.58</v>
      </c>
      <c r="J214" s="199">
        <f t="shared" si="32"/>
        <v>9</v>
      </c>
      <c r="K214" s="200">
        <f t="shared" si="33"/>
        <v>-943.19999999999993</v>
      </c>
      <c r="L214" s="199">
        <f t="shared" si="34"/>
        <v>10</v>
      </c>
      <c r="M214" s="200">
        <f t="shared" si="35"/>
        <v>-948.40000000000009</v>
      </c>
      <c r="O214" s="200"/>
      <c r="Q214" s="200"/>
    </row>
    <row r="215" spans="1:17" hidden="1" x14ac:dyDescent="0.4">
      <c r="A215" s="198">
        <v>42460</v>
      </c>
      <c r="B215" s="177">
        <v>109.2</v>
      </c>
      <c r="C215" s="177">
        <v>110.04</v>
      </c>
      <c r="D215" s="177">
        <v>103.16</v>
      </c>
      <c r="E215" s="177">
        <v>103.45</v>
      </c>
      <c r="G215" s="200"/>
      <c r="H215" s="199">
        <f t="shared" si="30"/>
        <v>9</v>
      </c>
      <c r="I215" s="200">
        <f t="shared" si="31"/>
        <v>-931.05000000000007</v>
      </c>
      <c r="J215" s="199">
        <f t="shared" si="32"/>
        <v>9</v>
      </c>
      <c r="K215" s="200">
        <f t="shared" si="33"/>
        <v>-990.36</v>
      </c>
      <c r="L215" s="199">
        <f t="shared" si="34"/>
        <v>9</v>
      </c>
      <c r="M215" s="200">
        <f t="shared" si="35"/>
        <v>-928.43999999999994</v>
      </c>
      <c r="O215" s="200"/>
      <c r="Q215" s="200"/>
    </row>
    <row r="216" spans="1:17" hidden="1" x14ac:dyDescent="0.4">
      <c r="A216" s="198">
        <v>42490</v>
      </c>
      <c r="B216" s="177">
        <v>105.72</v>
      </c>
      <c r="C216" s="177">
        <v>111.44</v>
      </c>
      <c r="D216" s="177">
        <v>104.88</v>
      </c>
      <c r="E216" s="177">
        <v>108.58</v>
      </c>
      <c r="G216" s="200"/>
      <c r="H216" s="199">
        <f t="shared" si="30"/>
        <v>9</v>
      </c>
      <c r="I216" s="200">
        <f t="shared" si="31"/>
        <v>-977.22</v>
      </c>
      <c r="J216" s="199">
        <f t="shared" si="32"/>
        <v>8</v>
      </c>
      <c r="K216" s="200">
        <f t="shared" si="33"/>
        <v>-891.52</v>
      </c>
      <c r="L216" s="199">
        <f t="shared" si="34"/>
        <v>9</v>
      </c>
      <c r="M216" s="200">
        <f t="shared" si="35"/>
        <v>-943.92</v>
      </c>
      <c r="O216" s="200"/>
      <c r="Q216" s="200"/>
    </row>
    <row r="217" spans="1:17" hidden="1" x14ac:dyDescent="0.4">
      <c r="A217" s="198">
        <v>42521</v>
      </c>
      <c r="B217" s="177">
        <v>110.34</v>
      </c>
      <c r="C217" s="177">
        <v>110.51</v>
      </c>
      <c r="D217" s="177">
        <v>104.4</v>
      </c>
      <c r="E217" s="177">
        <v>105.97</v>
      </c>
      <c r="G217" s="200"/>
      <c r="H217" s="199">
        <f t="shared" si="30"/>
        <v>9</v>
      </c>
      <c r="I217" s="200">
        <f t="shared" si="31"/>
        <v>-953.73</v>
      </c>
      <c r="J217" s="199">
        <f t="shared" si="32"/>
        <v>9</v>
      </c>
      <c r="K217" s="200">
        <f t="shared" si="33"/>
        <v>-994.59</v>
      </c>
      <c r="L217" s="199">
        <f t="shared" si="34"/>
        <v>9</v>
      </c>
      <c r="M217" s="200">
        <f t="shared" si="35"/>
        <v>-939.6</v>
      </c>
      <c r="O217" s="200"/>
      <c r="Q217" s="200"/>
    </row>
    <row r="218" spans="1:17" hidden="1" x14ac:dyDescent="0.4">
      <c r="A218" s="198">
        <v>42551</v>
      </c>
      <c r="B218" s="177">
        <v>107.54</v>
      </c>
      <c r="C218" s="177">
        <v>110.75</v>
      </c>
      <c r="D218" s="177">
        <v>101.75</v>
      </c>
      <c r="E218" s="177">
        <v>110</v>
      </c>
      <c r="G218" s="200"/>
      <c r="H218" s="199">
        <f t="shared" si="30"/>
        <v>9</v>
      </c>
      <c r="I218" s="200">
        <f t="shared" si="31"/>
        <v>-990</v>
      </c>
      <c r="J218" s="199">
        <f t="shared" si="32"/>
        <v>9</v>
      </c>
      <c r="K218" s="200">
        <f t="shared" si="33"/>
        <v>-996.75</v>
      </c>
      <c r="L218" s="199">
        <f t="shared" si="34"/>
        <v>9</v>
      </c>
      <c r="M218" s="200">
        <f t="shared" si="35"/>
        <v>-915.75</v>
      </c>
      <c r="O218" s="200"/>
      <c r="Q218" s="200"/>
    </row>
    <row r="219" spans="1:17" hidden="1" x14ac:dyDescent="0.4">
      <c r="A219" s="198">
        <v>42582</v>
      </c>
      <c r="B219" s="177">
        <v>115.23</v>
      </c>
      <c r="C219" s="177">
        <v>115.54</v>
      </c>
      <c r="D219" s="177">
        <v>106.57</v>
      </c>
      <c r="E219" s="177">
        <v>107.49</v>
      </c>
      <c r="G219" s="200"/>
      <c r="H219" s="199">
        <f t="shared" si="30"/>
        <v>9</v>
      </c>
      <c r="I219" s="200">
        <f t="shared" si="31"/>
        <v>-967.41</v>
      </c>
      <c r="J219" s="199">
        <f t="shared" si="32"/>
        <v>8</v>
      </c>
      <c r="K219" s="200">
        <f t="shared" si="33"/>
        <v>-924.32</v>
      </c>
      <c r="L219" s="199">
        <f t="shared" si="34"/>
        <v>9</v>
      </c>
      <c r="M219" s="200">
        <f t="shared" si="35"/>
        <v>-959.12999999999988</v>
      </c>
      <c r="O219" s="200"/>
      <c r="Q219" s="200"/>
    </row>
    <row r="220" spans="1:17" hidden="1" x14ac:dyDescent="0.4">
      <c r="A220" s="198">
        <v>42613</v>
      </c>
      <c r="B220" s="177">
        <v>116.44</v>
      </c>
      <c r="C220" s="177">
        <v>118.78</v>
      </c>
      <c r="D220" s="177">
        <v>114.22</v>
      </c>
      <c r="E220" s="177">
        <v>115.31</v>
      </c>
      <c r="G220" s="200"/>
      <c r="H220" s="199">
        <f t="shared" si="30"/>
        <v>8</v>
      </c>
      <c r="I220" s="200">
        <f t="shared" si="31"/>
        <v>-922.48</v>
      </c>
      <c r="J220" s="199">
        <f t="shared" si="32"/>
        <v>8</v>
      </c>
      <c r="K220" s="200">
        <f t="shared" si="33"/>
        <v>-950.24</v>
      </c>
      <c r="L220" s="199">
        <f t="shared" si="34"/>
        <v>8</v>
      </c>
      <c r="M220" s="200">
        <f t="shared" si="35"/>
        <v>-913.76</v>
      </c>
      <c r="O220" s="200"/>
      <c r="Q220" s="200"/>
    </row>
    <row r="221" spans="1:17" hidden="1" x14ac:dyDescent="0.4">
      <c r="A221" s="198">
        <v>42643</v>
      </c>
      <c r="B221" s="177">
        <v>118.72</v>
      </c>
      <c r="C221" s="177">
        <v>119.22</v>
      </c>
      <c r="D221" s="177">
        <v>113.63</v>
      </c>
      <c r="E221" s="177">
        <v>116.48</v>
      </c>
      <c r="G221" s="200"/>
      <c r="H221" s="199">
        <f t="shared" si="30"/>
        <v>8</v>
      </c>
      <c r="I221" s="200">
        <f t="shared" si="31"/>
        <v>-931.84</v>
      </c>
      <c r="J221" s="199">
        <f t="shared" si="32"/>
        <v>8</v>
      </c>
      <c r="K221" s="200">
        <f t="shared" si="33"/>
        <v>-953.76</v>
      </c>
      <c r="L221" s="199">
        <f t="shared" si="34"/>
        <v>8</v>
      </c>
      <c r="M221" s="200">
        <f t="shared" si="35"/>
        <v>-909.04</v>
      </c>
      <c r="O221" s="200"/>
      <c r="Q221" s="200"/>
    </row>
    <row r="222" spans="1:17" hidden="1" x14ac:dyDescent="0.4">
      <c r="A222" s="198">
        <v>42674</v>
      </c>
      <c r="B222" s="177">
        <v>116.99</v>
      </c>
      <c r="C222" s="177">
        <v>119.66</v>
      </c>
      <c r="D222" s="177">
        <v>115.94</v>
      </c>
      <c r="E222" s="177">
        <v>118.53</v>
      </c>
      <c r="G222" s="200"/>
      <c r="H222" s="199">
        <f t="shared" si="30"/>
        <v>8</v>
      </c>
      <c r="I222" s="200">
        <f t="shared" si="31"/>
        <v>-948.24</v>
      </c>
      <c r="J222" s="199">
        <f t="shared" si="32"/>
        <v>8</v>
      </c>
      <c r="K222" s="200">
        <f t="shared" si="33"/>
        <v>-957.28</v>
      </c>
      <c r="L222" s="199">
        <f t="shared" si="34"/>
        <v>8</v>
      </c>
      <c r="M222" s="200">
        <f t="shared" si="35"/>
        <v>-927.52</v>
      </c>
      <c r="O222" s="200"/>
      <c r="Q222" s="200"/>
    </row>
    <row r="223" spans="1:17" hidden="1" x14ac:dyDescent="0.4">
      <c r="A223" s="198">
        <v>42704</v>
      </c>
      <c r="B223" s="177">
        <v>117.5</v>
      </c>
      <c r="C223" s="177">
        <v>119.51</v>
      </c>
      <c r="D223" s="177">
        <v>113.45</v>
      </c>
      <c r="E223" s="177">
        <v>117.19</v>
      </c>
      <c r="G223" s="200"/>
      <c r="H223" s="199">
        <f t="shared" si="30"/>
        <v>8</v>
      </c>
      <c r="I223" s="200">
        <f t="shared" si="31"/>
        <v>-937.52</v>
      </c>
      <c r="J223" s="199">
        <f t="shared" si="32"/>
        <v>8</v>
      </c>
      <c r="K223" s="200">
        <f t="shared" si="33"/>
        <v>-956.08</v>
      </c>
      <c r="L223" s="199">
        <f t="shared" si="34"/>
        <v>8</v>
      </c>
      <c r="M223" s="200">
        <f t="shared" si="35"/>
        <v>-907.6</v>
      </c>
      <c r="O223" s="200"/>
      <c r="Q223" s="200"/>
    </row>
    <row r="224" spans="1:17" hidden="1" x14ac:dyDescent="0.4">
      <c r="A224" s="198">
        <v>42735</v>
      </c>
      <c r="B224" s="177">
        <v>118.48</v>
      </c>
      <c r="C224" s="177">
        <v>121.52</v>
      </c>
      <c r="D224" s="177">
        <v>115.22</v>
      </c>
      <c r="E224" s="177">
        <v>117.46</v>
      </c>
      <c r="G224" s="200"/>
      <c r="H224" s="199">
        <f t="shared" si="30"/>
        <v>8</v>
      </c>
      <c r="I224" s="200">
        <f t="shared" si="31"/>
        <v>-939.68</v>
      </c>
      <c r="J224" s="199">
        <f t="shared" si="32"/>
        <v>8</v>
      </c>
      <c r="K224" s="200">
        <f t="shared" si="33"/>
        <v>-972.16</v>
      </c>
      <c r="L224" s="199">
        <f t="shared" si="34"/>
        <v>8</v>
      </c>
      <c r="M224" s="200">
        <f t="shared" si="35"/>
        <v>-921.76</v>
      </c>
      <c r="O224" s="200"/>
      <c r="Q224" s="200"/>
    </row>
    <row r="225" spans="1:17" hidden="1" x14ac:dyDescent="0.4">
      <c r="A225" s="198">
        <v>42766</v>
      </c>
      <c r="B225" s="177">
        <v>124.57</v>
      </c>
      <c r="C225" s="177">
        <v>125.92</v>
      </c>
      <c r="D225" s="177">
        <v>118.89</v>
      </c>
      <c r="E225" s="177">
        <v>119.31</v>
      </c>
      <c r="G225" s="200"/>
      <c r="H225" s="199">
        <f t="shared" si="30"/>
        <v>8</v>
      </c>
      <c r="I225" s="200">
        <f t="shared" si="31"/>
        <v>-954.48</v>
      </c>
      <c r="J225" s="199">
        <f t="shared" si="32"/>
        <v>7</v>
      </c>
      <c r="K225" s="200">
        <f t="shared" si="33"/>
        <v>-881.44</v>
      </c>
      <c r="L225" s="199">
        <f t="shared" si="34"/>
        <v>8</v>
      </c>
      <c r="M225" s="200">
        <f t="shared" si="35"/>
        <v>-951.12</v>
      </c>
      <c r="N225" s="199">
        <f>INT(N$1/MAX(C225:C236))</f>
        <v>75</v>
      </c>
      <c r="O225" s="200">
        <f>N225*-MAX(C225:C236)</f>
        <v>-11907.75</v>
      </c>
      <c r="P225" s="199">
        <f>INT(P$1/MIN(D225:D236))</f>
        <v>100</v>
      </c>
      <c r="Q225" s="200">
        <f>P225*-MIN(D225:D236)</f>
        <v>-11889</v>
      </c>
    </row>
    <row r="226" spans="1:17" hidden="1" x14ac:dyDescent="0.4">
      <c r="A226" s="198">
        <v>42794</v>
      </c>
      <c r="B226" s="177">
        <v>130.02000000000001</v>
      </c>
      <c r="C226" s="177">
        <v>130.69999999999999</v>
      </c>
      <c r="D226" s="177">
        <v>124.86</v>
      </c>
      <c r="E226" s="177">
        <v>125.42</v>
      </c>
      <c r="G226" s="200"/>
      <c r="H226" s="199">
        <f t="shared" si="30"/>
        <v>7</v>
      </c>
      <c r="I226" s="200">
        <f t="shared" si="31"/>
        <v>-877.94</v>
      </c>
      <c r="J226" s="199">
        <f t="shared" si="32"/>
        <v>7</v>
      </c>
      <c r="K226" s="200">
        <f t="shared" si="33"/>
        <v>-914.89999999999986</v>
      </c>
      <c r="L226" s="199">
        <f t="shared" si="34"/>
        <v>8</v>
      </c>
      <c r="M226" s="200">
        <f t="shared" si="35"/>
        <v>-998.88</v>
      </c>
      <c r="O226" s="200"/>
      <c r="Q226" s="200"/>
    </row>
    <row r="227" spans="1:17" hidden="1" x14ac:dyDescent="0.4">
      <c r="A227" s="198">
        <v>42825</v>
      </c>
      <c r="B227" s="177">
        <v>132.38</v>
      </c>
      <c r="C227" s="177">
        <v>132.74</v>
      </c>
      <c r="D227" s="177">
        <v>129.4</v>
      </c>
      <c r="E227" s="177">
        <v>130.81</v>
      </c>
      <c r="G227" s="200"/>
      <c r="H227" s="199">
        <f t="shared" si="30"/>
        <v>7</v>
      </c>
      <c r="I227" s="200">
        <f t="shared" si="31"/>
        <v>-915.67000000000007</v>
      </c>
      <c r="J227" s="199">
        <f t="shared" si="32"/>
        <v>7</v>
      </c>
      <c r="K227" s="200">
        <f t="shared" si="33"/>
        <v>-929.18000000000006</v>
      </c>
      <c r="L227" s="199">
        <f t="shared" si="34"/>
        <v>7</v>
      </c>
      <c r="M227" s="200">
        <f t="shared" si="35"/>
        <v>-905.80000000000007</v>
      </c>
      <c r="O227" s="200"/>
      <c r="Q227" s="200"/>
    </row>
    <row r="228" spans="1:17" hidden="1" x14ac:dyDescent="0.4">
      <c r="A228" s="198">
        <v>42855</v>
      </c>
      <c r="B228" s="177">
        <v>135.99</v>
      </c>
      <c r="C228" s="177">
        <v>136.34</v>
      </c>
      <c r="D228" s="177">
        <v>130.38</v>
      </c>
      <c r="E228" s="177">
        <v>132.47999999999999</v>
      </c>
      <c r="G228" s="200"/>
      <c r="H228" s="199">
        <f t="shared" si="30"/>
        <v>7</v>
      </c>
      <c r="I228" s="200">
        <f t="shared" si="31"/>
        <v>-927.3599999999999</v>
      </c>
      <c r="J228" s="199">
        <f t="shared" si="32"/>
        <v>7</v>
      </c>
      <c r="K228" s="200">
        <f t="shared" si="33"/>
        <v>-954.38</v>
      </c>
      <c r="L228" s="199">
        <f t="shared" si="34"/>
        <v>7</v>
      </c>
      <c r="M228" s="200">
        <f t="shared" si="35"/>
        <v>-912.66</v>
      </c>
      <c r="O228" s="200"/>
      <c r="Q228" s="200"/>
    </row>
    <row r="229" spans="1:17" hidden="1" x14ac:dyDescent="0.4">
      <c r="A229" s="198">
        <v>42886</v>
      </c>
      <c r="B229" s="177">
        <v>141.29</v>
      </c>
      <c r="C229" s="177">
        <v>141.84</v>
      </c>
      <c r="D229" s="177">
        <v>135.87</v>
      </c>
      <c r="E229" s="177">
        <v>136.46</v>
      </c>
      <c r="G229" s="200"/>
      <c r="H229" s="199">
        <f t="shared" si="30"/>
        <v>7</v>
      </c>
      <c r="I229" s="200">
        <f t="shared" si="31"/>
        <v>-955.22</v>
      </c>
      <c r="J229" s="199">
        <f t="shared" si="32"/>
        <v>7</v>
      </c>
      <c r="K229" s="200">
        <f t="shared" si="33"/>
        <v>-992.88</v>
      </c>
      <c r="L229" s="199">
        <f t="shared" si="34"/>
        <v>7</v>
      </c>
      <c r="M229" s="200">
        <f t="shared" si="35"/>
        <v>-951.09</v>
      </c>
      <c r="O229" s="200"/>
      <c r="Q229" s="200"/>
    </row>
    <row r="230" spans="1:17" hidden="1" x14ac:dyDescent="0.4">
      <c r="A230" s="198">
        <v>42916</v>
      </c>
      <c r="B230" s="177">
        <v>137.63999999999999</v>
      </c>
      <c r="C230" s="177">
        <v>143.9</v>
      </c>
      <c r="D230" s="177">
        <v>136.25</v>
      </c>
      <c r="E230" s="177">
        <v>141.57</v>
      </c>
      <c r="G230" s="200"/>
      <c r="H230" s="199">
        <f t="shared" si="30"/>
        <v>7</v>
      </c>
      <c r="I230" s="200">
        <f t="shared" si="31"/>
        <v>-990.99</v>
      </c>
      <c r="J230" s="199">
        <f t="shared" si="32"/>
        <v>6</v>
      </c>
      <c r="K230" s="200">
        <f t="shared" si="33"/>
        <v>-863.40000000000009</v>
      </c>
      <c r="L230" s="199">
        <f t="shared" si="34"/>
        <v>7</v>
      </c>
      <c r="M230" s="200">
        <f t="shared" si="35"/>
        <v>-953.75</v>
      </c>
      <c r="O230" s="200"/>
      <c r="Q230" s="200"/>
    </row>
    <row r="231" spans="1:17" hidden="1" x14ac:dyDescent="0.4">
      <c r="A231" s="198">
        <v>42947</v>
      </c>
      <c r="B231" s="177">
        <v>143.22999999999999</v>
      </c>
      <c r="C231" s="177">
        <v>145.96</v>
      </c>
      <c r="D231" s="177">
        <v>135.80000000000001</v>
      </c>
      <c r="E231" s="177">
        <v>138.25</v>
      </c>
      <c r="G231" s="200"/>
      <c r="H231" s="199">
        <f t="shared" si="30"/>
        <v>7</v>
      </c>
      <c r="I231" s="200">
        <f t="shared" si="31"/>
        <v>-967.75</v>
      </c>
      <c r="J231" s="199">
        <f t="shared" si="32"/>
        <v>6</v>
      </c>
      <c r="K231" s="200">
        <f t="shared" si="33"/>
        <v>-875.76</v>
      </c>
      <c r="L231" s="199">
        <f t="shared" si="34"/>
        <v>7</v>
      </c>
      <c r="M231" s="200">
        <f t="shared" si="35"/>
        <v>-950.60000000000014</v>
      </c>
      <c r="O231" s="200"/>
      <c r="Q231" s="200"/>
    </row>
    <row r="232" spans="1:17" hidden="1" x14ac:dyDescent="0.4">
      <c r="A232" s="198">
        <v>42978</v>
      </c>
      <c r="B232" s="177">
        <v>146.19999999999999</v>
      </c>
      <c r="C232" s="177">
        <v>146.21</v>
      </c>
      <c r="D232" s="177">
        <v>140.18</v>
      </c>
      <c r="E232" s="177">
        <v>143.69999999999999</v>
      </c>
      <c r="G232" s="200"/>
      <c r="H232" s="199">
        <f t="shared" si="30"/>
        <v>6</v>
      </c>
      <c r="I232" s="200">
        <f t="shared" si="31"/>
        <v>-862.19999999999993</v>
      </c>
      <c r="J232" s="199">
        <f t="shared" si="32"/>
        <v>6</v>
      </c>
      <c r="K232" s="200">
        <f t="shared" si="33"/>
        <v>-877.26</v>
      </c>
      <c r="L232" s="199">
        <f t="shared" si="34"/>
        <v>7</v>
      </c>
      <c r="M232" s="200">
        <f t="shared" si="35"/>
        <v>-981.26</v>
      </c>
      <c r="O232" s="200"/>
      <c r="Q232" s="200"/>
    </row>
    <row r="233" spans="1:17" hidden="1" x14ac:dyDescent="0.4">
      <c r="A233" s="198">
        <v>43008</v>
      </c>
      <c r="B233" s="177">
        <v>145.44999999999999</v>
      </c>
      <c r="C233" s="177">
        <v>146.59</v>
      </c>
      <c r="D233" s="177">
        <v>142.1</v>
      </c>
      <c r="E233" s="177">
        <v>146.36000000000001</v>
      </c>
      <c r="G233" s="200"/>
      <c r="H233" s="199">
        <f t="shared" si="30"/>
        <v>6</v>
      </c>
      <c r="I233" s="200">
        <f t="shared" si="31"/>
        <v>-878.16000000000008</v>
      </c>
      <c r="J233" s="199">
        <f t="shared" si="32"/>
        <v>6</v>
      </c>
      <c r="K233" s="200">
        <f t="shared" si="33"/>
        <v>-879.54</v>
      </c>
      <c r="L233" s="199">
        <f t="shared" si="34"/>
        <v>7</v>
      </c>
      <c r="M233" s="200">
        <f t="shared" si="35"/>
        <v>-994.69999999999993</v>
      </c>
      <c r="O233" s="200"/>
      <c r="Q233" s="200"/>
    </row>
    <row r="234" spans="1:17" hidden="1" x14ac:dyDescent="0.4">
      <c r="A234" s="198">
        <v>43039</v>
      </c>
      <c r="B234" s="177">
        <v>152.15</v>
      </c>
      <c r="C234" s="177">
        <v>152.37</v>
      </c>
      <c r="D234" s="177">
        <v>144.93</v>
      </c>
      <c r="E234" s="177">
        <v>145.66999999999999</v>
      </c>
      <c r="G234" s="200"/>
      <c r="H234" s="199">
        <f t="shared" si="30"/>
        <v>6</v>
      </c>
      <c r="I234" s="200">
        <f t="shared" si="31"/>
        <v>-874.02</v>
      </c>
      <c r="J234" s="199">
        <f t="shared" si="32"/>
        <v>6</v>
      </c>
      <c r="K234" s="200">
        <f t="shared" si="33"/>
        <v>-914.22</v>
      </c>
      <c r="L234" s="199">
        <f t="shared" si="34"/>
        <v>6</v>
      </c>
      <c r="M234" s="200">
        <f t="shared" si="35"/>
        <v>-869.58</v>
      </c>
      <c r="O234" s="200"/>
      <c r="Q234" s="200"/>
    </row>
    <row r="235" spans="1:17" hidden="1" x14ac:dyDescent="0.4">
      <c r="A235" s="198">
        <v>43069</v>
      </c>
      <c r="B235" s="177">
        <v>155.15</v>
      </c>
      <c r="C235" s="177">
        <v>156.69</v>
      </c>
      <c r="D235" s="177">
        <v>150.77000000000001</v>
      </c>
      <c r="E235" s="177">
        <v>152.75</v>
      </c>
      <c r="G235" s="200"/>
      <c r="H235" s="199">
        <f t="shared" si="30"/>
        <v>6</v>
      </c>
      <c r="I235" s="200">
        <f t="shared" si="31"/>
        <v>-916.5</v>
      </c>
      <c r="J235" s="199">
        <f t="shared" si="32"/>
        <v>6</v>
      </c>
      <c r="K235" s="200">
        <f t="shared" si="33"/>
        <v>-940.14</v>
      </c>
      <c r="L235" s="199">
        <f t="shared" si="34"/>
        <v>6</v>
      </c>
      <c r="M235" s="200">
        <f t="shared" si="35"/>
        <v>-904.62000000000012</v>
      </c>
      <c r="O235" s="200"/>
      <c r="Q235" s="200"/>
    </row>
    <row r="236" spans="1:17" hidden="1" x14ac:dyDescent="0.4">
      <c r="A236" s="198">
        <v>43100</v>
      </c>
      <c r="B236" s="177">
        <v>155.76</v>
      </c>
      <c r="C236" s="177">
        <v>158.77000000000001</v>
      </c>
      <c r="D236" s="177">
        <v>152.06</v>
      </c>
      <c r="E236" s="177">
        <v>154.19</v>
      </c>
      <c r="G236" s="200"/>
      <c r="H236" s="199">
        <f t="shared" si="30"/>
        <v>6</v>
      </c>
      <c r="I236" s="200">
        <f t="shared" si="31"/>
        <v>-925.14</v>
      </c>
      <c r="J236" s="199">
        <f t="shared" si="32"/>
        <v>6</v>
      </c>
      <c r="K236" s="200">
        <f t="shared" si="33"/>
        <v>-952.62000000000012</v>
      </c>
      <c r="L236" s="199">
        <f t="shared" si="34"/>
        <v>6</v>
      </c>
      <c r="M236" s="200">
        <f t="shared" si="35"/>
        <v>-912.36</v>
      </c>
      <c r="O236" s="200"/>
      <c r="Q236" s="200"/>
    </row>
    <row r="237" spans="1:17" hidden="1" x14ac:dyDescent="0.4">
      <c r="A237" s="198">
        <v>43131</v>
      </c>
      <c r="B237" s="177">
        <v>169.4</v>
      </c>
      <c r="C237" s="177">
        <v>170.95</v>
      </c>
      <c r="D237" s="177">
        <v>156.16999999999999</v>
      </c>
      <c r="E237" s="177">
        <v>156.5</v>
      </c>
      <c r="G237" s="200"/>
      <c r="H237" s="199">
        <f t="shared" si="30"/>
        <v>6</v>
      </c>
      <c r="I237" s="200">
        <f t="shared" si="31"/>
        <v>-939</v>
      </c>
      <c r="J237" s="199">
        <f t="shared" si="32"/>
        <v>5</v>
      </c>
      <c r="K237" s="200">
        <f t="shared" si="33"/>
        <v>-854.75</v>
      </c>
      <c r="L237" s="199">
        <f t="shared" si="34"/>
        <v>6</v>
      </c>
      <c r="M237" s="200">
        <f t="shared" si="35"/>
        <v>-937.02</v>
      </c>
      <c r="N237" s="199">
        <f>INT(N$1/MAX(C237:C248))</f>
        <v>63</v>
      </c>
      <c r="O237" s="200">
        <f>N237*-MAX(C237:C248)</f>
        <v>-11814.39</v>
      </c>
      <c r="P237" s="199">
        <f>INT(P$1/MIN(D237:D248))</f>
        <v>83</v>
      </c>
      <c r="Q237" s="200">
        <f>P237*-MIN(D237:D248)</f>
        <v>-11907.18</v>
      </c>
    </row>
    <row r="238" spans="1:17" hidden="1" x14ac:dyDescent="0.4">
      <c r="A238" s="198">
        <v>43159</v>
      </c>
      <c r="B238" s="177">
        <v>167.21</v>
      </c>
      <c r="C238" s="177">
        <v>170.73</v>
      </c>
      <c r="D238" s="177">
        <v>150.13</v>
      </c>
      <c r="E238" s="177">
        <v>168.12</v>
      </c>
      <c r="G238" s="200"/>
      <c r="H238" s="199">
        <f t="shared" si="30"/>
        <v>5</v>
      </c>
      <c r="I238" s="200">
        <f t="shared" si="31"/>
        <v>-840.6</v>
      </c>
      <c r="J238" s="199">
        <f t="shared" si="32"/>
        <v>5</v>
      </c>
      <c r="K238" s="200">
        <f t="shared" si="33"/>
        <v>-853.65</v>
      </c>
      <c r="L238" s="199">
        <f t="shared" si="34"/>
        <v>6</v>
      </c>
      <c r="M238" s="200">
        <f t="shared" si="35"/>
        <v>-900.78</v>
      </c>
      <c r="O238" s="200"/>
      <c r="Q238" s="200"/>
    </row>
    <row r="239" spans="1:17" hidden="1" x14ac:dyDescent="0.4">
      <c r="A239" s="198">
        <v>43190</v>
      </c>
      <c r="B239" s="177">
        <v>160.13</v>
      </c>
      <c r="C239" s="177">
        <v>175.21</v>
      </c>
      <c r="D239" s="177">
        <v>156.04</v>
      </c>
      <c r="E239" s="177">
        <v>167.29</v>
      </c>
      <c r="G239" s="200"/>
      <c r="H239" s="199">
        <f t="shared" si="30"/>
        <v>5</v>
      </c>
      <c r="I239" s="200">
        <f t="shared" si="31"/>
        <v>-836.44999999999993</v>
      </c>
      <c r="J239" s="199">
        <f t="shared" si="32"/>
        <v>5</v>
      </c>
      <c r="K239" s="200">
        <f t="shared" si="33"/>
        <v>-876.05000000000007</v>
      </c>
      <c r="L239" s="199">
        <f t="shared" si="34"/>
        <v>6</v>
      </c>
      <c r="M239" s="200">
        <f t="shared" si="35"/>
        <v>-936.24</v>
      </c>
      <c r="O239" s="200"/>
      <c r="Q239" s="200"/>
    </row>
    <row r="240" spans="1:17" hidden="1" x14ac:dyDescent="0.4">
      <c r="A240" s="198">
        <v>43220</v>
      </c>
      <c r="B240" s="177">
        <v>160.94</v>
      </c>
      <c r="C240" s="177">
        <v>167</v>
      </c>
      <c r="D240" s="177">
        <v>153.88</v>
      </c>
      <c r="E240" s="177">
        <v>159</v>
      </c>
      <c r="G240" s="200"/>
      <c r="H240" s="199">
        <f t="shared" si="30"/>
        <v>6</v>
      </c>
      <c r="I240" s="200">
        <f t="shared" si="31"/>
        <v>-954</v>
      </c>
      <c r="J240" s="199">
        <f t="shared" si="32"/>
        <v>5</v>
      </c>
      <c r="K240" s="200">
        <f t="shared" si="33"/>
        <v>-835</v>
      </c>
      <c r="L240" s="199">
        <f t="shared" si="34"/>
        <v>6</v>
      </c>
      <c r="M240" s="200">
        <f t="shared" si="35"/>
        <v>-923.28</v>
      </c>
      <c r="O240" s="200"/>
      <c r="Q240" s="200"/>
    </row>
    <row r="241" spans="1:17" hidden="1" x14ac:dyDescent="0.4">
      <c r="A241" s="198">
        <v>43251</v>
      </c>
      <c r="B241" s="177">
        <v>170.07</v>
      </c>
      <c r="C241" s="177">
        <v>171.2</v>
      </c>
      <c r="D241" s="177">
        <v>159.22</v>
      </c>
      <c r="E241" s="177">
        <v>160.52000000000001</v>
      </c>
      <c r="G241" s="200"/>
      <c r="H241" s="199">
        <f t="shared" si="30"/>
        <v>6</v>
      </c>
      <c r="I241" s="200">
        <f t="shared" si="31"/>
        <v>-963.12000000000012</v>
      </c>
      <c r="J241" s="199">
        <f t="shared" si="32"/>
        <v>5</v>
      </c>
      <c r="K241" s="200">
        <f t="shared" si="33"/>
        <v>-856</v>
      </c>
      <c r="L241" s="199">
        <f t="shared" si="34"/>
        <v>6</v>
      </c>
      <c r="M241" s="200">
        <f t="shared" si="35"/>
        <v>-955.31999999999994</v>
      </c>
      <c r="O241" s="200"/>
      <c r="Q241" s="200"/>
    </row>
    <row r="242" spans="1:17" hidden="1" x14ac:dyDescent="0.4">
      <c r="A242" s="198">
        <v>43281</v>
      </c>
      <c r="B242" s="177">
        <v>171.65</v>
      </c>
      <c r="C242" s="177">
        <v>177.98</v>
      </c>
      <c r="D242" s="177">
        <v>169.17</v>
      </c>
      <c r="E242" s="177">
        <v>170.88</v>
      </c>
      <c r="G242" s="200"/>
      <c r="H242" s="199">
        <f t="shared" si="30"/>
        <v>5</v>
      </c>
      <c r="I242" s="200">
        <f t="shared" si="31"/>
        <v>-854.4</v>
      </c>
      <c r="J242" s="199">
        <f t="shared" si="32"/>
        <v>5</v>
      </c>
      <c r="K242" s="200">
        <f t="shared" si="33"/>
        <v>-889.9</v>
      </c>
      <c r="L242" s="199">
        <f t="shared" si="34"/>
        <v>5</v>
      </c>
      <c r="M242" s="200">
        <f t="shared" si="35"/>
        <v>-845.84999999999991</v>
      </c>
      <c r="O242" s="200"/>
      <c r="Q242" s="200"/>
    </row>
    <row r="243" spans="1:17" hidden="1" x14ac:dyDescent="0.4">
      <c r="A243" s="198">
        <v>43312</v>
      </c>
      <c r="B243" s="177">
        <v>176.45</v>
      </c>
      <c r="C243" s="177">
        <v>182.93</v>
      </c>
      <c r="D243" s="177">
        <v>169.67</v>
      </c>
      <c r="E243" s="177">
        <v>170.04</v>
      </c>
      <c r="G243" s="200"/>
      <c r="H243" s="199">
        <f t="shared" si="30"/>
        <v>5</v>
      </c>
      <c r="I243" s="200">
        <f t="shared" si="31"/>
        <v>-850.19999999999993</v>
      </c>
      <c r="J243" s="199">
        <f t="shared" si="32"/>
        <v>5</v>
      </c>
      <c r="K243" s="200">
        <f t="shared" si="33"/>
        <v>-914.65000000000009</v>
      </c>
      <c r="L243" s="199">
        <f t="shared" si="34"/>
        <v>5</v>
      </c>
      <c r="M243" s="200">
        <f t="shared" si="35"/>
        <v>-848.34999999999991</v>
      </c>
      <c r="O243" s="200"/>
      <c r="Q243" s="200"/>
    </row>
    <row r="244" spans="1:17" hidden="1" x14ac:dyDescent="0.4">
      <c r="A244" s="198">
        <v>43343</v>
      </c>
      <c r="B244" s="177">
        <v>186.65</v>
      </c>
      <c r="C244" s="177">
        <v>187.52</v>
      </c>
      <c r="D244" s="177">
        <v>175.79</v>
      </c>
      <c r="E244" s="177">
        <v>176.87</v>
      </c>
      <c r="G244" s="200"/>
      <c r="H244" s="199">
        <f t="shared" si="30"/>
        <v>5</v>
      </c>
      <c r="I244" s="200">
        <f t="shared" si="31"/>
        <v>-884.35</v>
      </c>
      <c r="J244" s="199">
        <f t="shared" si="32"/>
        <v>5</v>
      </c>
      <c r="K244" s="200">
        <f t="shared" si="33"/>
        <v>-937.6</v>
      </c>
      <c r="L244" s="199">
        <f t="shared" si="34"/>
        <v>5</v>
      </c>
      <c r="M244" s="200">
        <f t="shared" si="35"/>
        <v>-878.94999999999993</v>
      </c>
      <c r="O244" s="200"/>
      <c r="Q244" s="200"/>
    </row>
    <row r="245" spans="1:17" hidden="1" x14ac:dyDescent="0.4">
      <c r="A245" s="198">
        <v>43373</v>
      </c>
      <c r="B245" s="177">
        <v>185.79</v>
      </c>
      <c r="C245" s="177">
        <v>186.49</v>
      </c>
      <c r="D245" s="177">
        <v>180.44</v>
      </c>
      <c r="E245" s="177">
        <v>186.1</v>
      </c>
      <c r="G245" s="200"/>
      <c r="H245" s="199">
        <f t="shared" si="30"/>
        <v>5</v>
      </c>
      <c r="I245" s="200">
        <f t="shared" si="31"/>
        <v>-930.5</v>
      </c>
      <c r="J245" s="199">
        <f t="shared" si="32"/>
        <v>5</v>
      </c>
      <c r="K245" s="200">
        <f t="shared" si="33"/>
        <v>-932.45</v>
      </c>
      <c r="L245" s="199">
        <f t="shared" si="34"/>
        <v>5</v>
      </c>
      <c r="M245" s="200">
        <f t="shared" si="35"/>
        <v>-902.2</v>
      </c>
      <c r="O245" s="200"/>
      <c r="Q245" s="200"/>
    </row>
    <row r="246" spans="1:17" hidden="1" x14ac:dyDescent="0.4">
      <c r="A246" s="198">
        <v>43404</v>
      </c>
      <c r="B246" s="177">
        <v>169.82</v>
      </c>
      <c r="C246" s="177">
        <v>187.53</v>
      </c>
      <c r="D246" s="177">
        <v>160.09</v>
      </c>
      <c r="E246" s="177">
        <v>186.82</v>
      </c>
      <c r="G246" s="200"/>
      <c r="H246" s="199">
        <f t="shared" si="30"/>
        <v>5</v>
      </c>
      <c r="I246" s="200">
        <f t="shared" si="31"/>
        <v>-934.09999999999991</v>
      </c>
      <c r="J246" s="199">
        <f t="shared" si="32"/>
        <v>5</v>
      </c>
      <c r="K246" s="200">
        <f t="shared" si="33"/>
        <v>-937.65</v>
      </c>
      <c r="L246" s="199">
        <f t="shared" si="34"/>
        <v>6</v>
      </c>
      <c r="M246" s="200">
        <f t="shared" si="35"/>
        <v>-960.54</v>
      </c>
      <c r="O246" s="200"/>
      <c r="Q246" s="200"/>
    </row>
    <row r="247" spans="1:17" hidden="1" x14ac:dyDescent="0.4">
      <c r="A247" s="198">
        <v>43434</v>
      </c>
      <c r="B247" s="177">
        <v>169.37</v>
      </c>
      <c r="C247" s="177">
        <v>175.58</v>
      </c>
      <c r="D247" s="177">
        <v>157.13</v>
      </c>
      <c r="E247" s="177">
        <v>170.08</v>
      </c>
      <c r="G247" s="200"/>
      <c r="H247" s="199">
        <f t="shared" si="30"/>
        <v>5</v>
      </c>
      <c r="I247" s="200">
        <f t="shared" si="31"/>
        <v>-850.40000000000009</v>
      </c>
      <c r="J247" s="199">
        <f t="shared" si="32"/>
        <v>5</v>
      </c>
      <c r="K247" s="200">
        <f t="shared" si="33"/>
        <v>-877.90000000000009</v>
      </c>
      <c r="L247" s="199">
        <f t="shared" si="34"/>
        <v>6</v>
      </c>
      <c r="M247" s="200">
        <f t="shared" si="35"/>
        <v>-942.78</v>
      </c>
      <c r="O247" s="200"/>
      <c r="Q247" s="200"/>
    </row>
    <row r="248" spans="1:17" hidden="1" x14ac:dyDescent="0.4">
      <c r="A248" s="198">
        <v>43465</v>
      </c>
      <c r="B248" s="177">
        <v>154.26</v>
      </c>
      <c r="C248" s="177">
        <v>173.31</v>
      </c>
      <c r="D248" s="177">
        <v>143.46</v>
      </c>
      <c r="E248" s="177">
        <v>173.1</v>
      </c>
      <c r="G248" s="200"/>
      <c r="H248" s="199">
        <f t="shared" si="30"/>
        <v>5</v>
      </c>
      <c r="I248" s="200">
        <f t="shared" si="31"/>
        <v>-865.5</v>
      </c>
      <c r="J248" s="199">
        <f t="shared" si="32"/>
        <v>5</v>
      </c>
      <c r="K248" s="200">
        <f t="shared" si="33"/>
        <v>-866.55</v>
      </c>
      <c r="L248" s="199">
        <f t="shared" si="34"/>
        <v>6</v>
      </c>
      <c r="M248" s="200">
        <f t="shared" si="35"/>
        <v>-860.76</v>
      </c>
      <c r="O248" s="200"/>
      <c r="Q248" s="200"/>
    </row>
    <row r="249" spans="1:17" hidden="1" x14ac:dyDescent="0.4">
      <c r="A249" s="198">
        <v>43496</v>
      </c>
      <c r="B249" s="177">
        <v>168.16</v>
      </c>
      <c r="C249" s="177">
        <v>168.99</v>
      </c>
      <c r="D249" s="177">
        <v>149.49</v>
      </c>
      <c r="E249" s="177">
        <v>150.99</v>
      </c>
      <c r="G249" s="200"/>
      <c r="H249" s="199">
        <f t="shared" si="30"/>
        <v>6</v>
      </c>
      <c r="I249" s="200">
        <f t="shared" si="31"/>
        <v>-905.94</v>
      </c>
      <c r="J249" s="199">
        <f t="shared" si="32"/>
        <v>5</v>
      </c>
      <c r="K249" s="200">
        <f t="shared" si="33"/>
        <v>-844.95</v>
      </c>
      <c r="L249" s="199">
        <f t="shared" si="34"/>
        <v>6</v>
      </c>
      <c r="M249" s="200">
        <f t="shared" si="35"/>
        <v>-896.94</v>
      </c>
      <c r="N249" s="199">
        <f>INT(N$1/MAX(C249:C260))</f>
        <v>55</v>
      </c>
      <c r="O249" s="200">
        <f>N249*-MAX(C249:C260)</f>
        <v>-11800.8</v>
      </c>
      <c r="P249" s="199">
        <f>INT(P$1/MIN(D249:D260))</f>
        <v>80</v>
      </c>
      <c r="Q249" s="200">
        <f>P249*-MIN(D249:D260)</f>
        <v>-11959.2</v>
      </c>
    </row>
    <row r="250" spans="1:17" hidden="1" x14ac:dyDescent="0.4">
      <c r="A250" s="198">
        <v>43524</v>
      </c>
      <c r="B250" s="177">
        <v>173.19</v>
      </c>
      <c r="C250" s="177">
        <v>174.66</v>
      </c>
      <c r="D250" s="177">
        <v>166.57</v>
      </c>
      <c r="E250" s="177">
        <v>167.37</v>
      </c>
      <c r="G250" s="200"/>
      <c r="H250" s="199">
        <f t="shared" si="30"/>
        <v>5</v>
      </c>
      <c r="I250" s="200">
        <f t="shared" si="31"/>
        <v>-836.85</v>
      </c>
      <c r="J250" s="199">
        <f t="shared" si="32"/>
        <v>5</v>
      </c>
      <c r="K250" s="200">
        <f t="shared" si="33"/>
        <v>-873.3</v>
      </c>
      <c r="L250" s="199">
        <f t="shared" si="34"/>
        <v>6</v>
      </c>
      <c r="M250" s="200">
        <f t="shared" si="35"/>
        <v>-999.42</v>
      </c>
      <c r="O250" s="200"/>
      <c r="Q250" s="200"/>
    </row>
    <row r="251" spans="1:17" hidden="1" x14ac:dyDescent="0.4">
      <c r="A251" s="198">
        <v>43555</v>
      </c>
      <c r="B251" s="177">
        <v>179.66</v>
      </c>
      <c r="C251" s="177">
        <v>182.83</v>
      </c>
      <c r="D251" s="177">
        <v>169.34</v>
      </c>
      <c r="E251" s="177">
        <v>174.41</v>
      </c>
      <c r="G251" s="200"/>
      <c r="H251" s="199">
        <f t="shared" si="30"/>
        <v>5</v>
      </c>
      <c r="I251" s="200">
        <f t="shared" si="31"/>
        <v>-872.05</v>
      </c>
      <c r="J251" s="199">
        <f t="shared" si="32"/>
        <v>5</v>
      </c>
      <c r="K251" s="200">
        <f t="shared" si="33"/>
        <v>-914.15000000000009</v>
      </c>
      <c r="L251" s="199">
        <f t="shared" si="34"/>
        <v>5</v>
      </c>
      <c r="M251" s="200">
        <f t="shared" si="35"/>
        <v>-846.7</v>
      </c>
      <c r="O251" s="200"/>
      <c r="Q251" s="200"/>
    </row>
    <row r="252" spans="1:17" hidden="1" x14ac:dyDescent="0.4">
      <c r="A252" s="198">
        <v>43585</v>
      </c>
      <c r="B252" s="177">
        <v>189.54</v>
      </c>
      <c r="C252" s="177">
        <v>191.32</v>
      </c>
      <c r="D252" s="177">
        <v>180.77</v>
      </c>
      <c r="E252" s="177">
        <v>181.42</v>
      </c>
      <c r="G252" s="200"/>
      <c r="H252" s="199">
        <f t="shared" si="30"/>
        <v>5</v>
      </c>
      <c r="I252" s="200">
        <f t="shared" si="31"/>
        <v>-907.09999999999991</v>
      </c>
      <c r="J252" s="199">
        <f t="shared" si="32"/>
        <v>5</v>
      </c>
      <c r="K252" s="200">
        <f t="shared" si="33"/>
        <v>-956.59999999999991</v>
      </c>
      <c r="L252" s="199">
        <f t="shared" si="34"/>
        <v>5</v>
      </c>
      <c r="M252" s="200">
        <f t="shared" si="35"/>
        <v>-903.85</v>
      </c>
      <c r="O252" s="200"/>
      <c r="Q252" s="200"/>
    </row>
    <row r="253" spans="1:17" hidden="1" x14ac:dyDescent="0.4">
      <c r="A253" s="198">
        <v>43616</v>
      </c>
      <c r="B253" s="177">
        <v>173.95</v>
      </c>
      <c r="C253" s="177">
        <v>191.32</v>
      </c>
      <c r="D253" s="177">
        <v>173.87</v>
      </c>
      <c r="E253" s="177">
        <v>190.76</v>
      </c>
      <c r="G253" s="200"/>
      <c r="H253" s="199">
        <f t="shared" si="30"/>
        <v>5</v>
      </c>
      <c r="I253" s="200">
        <f t="shared" si="31"/>
        <v>-953.8</v>
      </c>
      <c r="J253" s="199">
        <f t="shared" si="32"/>
        <v>5</v>
      </c>
      <c r="K253" s="200">
        <f t="shared" si="33"/>
        <v>-956.59999999999991</v>
      </c>
      <c r="L253" s="199">
        <f t="shared" si="34"/>
        <v>5</v>
      </c>
      <c r="M253" s="200">
        <f t="shared" si="35"/>
        <v>-869.35</v>
      </c>
      <c r="O253" s="200"/>
      <c r="Q253" s="200"/>
    </row>
    <row r="254" spans="1:17" hidden="1" x14ac:dyDescent="0.4">
      <c r="A254" s="198">
        <v>43646</v>
      </c>
      <c r="B254" s="177">
        <v>186.74</v>
      </c>
      <c r="C254" s="177">
        <v>189.77</v>
      </c>
      <c r="D254" s="177">
        <v>169.27</v>
      </c>
      <c r="E254" s="177">
        <v>173.52</v>
      </c>
      <c r="G254" s="200"/>
      <c r="H254" s="199">
        <f t="shared" si="30"/>
        <v>5</v>
      </c>
      <c r="I254" s="200">
        <f t="shared" si="31"/>
        <v>-867.6</v>
      </c>
      <c r="J254" s="199">
        <f t="shared" si="32"/>
        <v>5</v>
      </c>
      <c r="K254" s="200">
        <f t="shared" si="33"/>
        <v>-948.85</v>
      </c>
      <c r="L254" s="199">
        <f t="shared" si="34"/>
        <v>5</v>
      </c>
      <c r="M254" s="200">
        <f t="shared" si="35"/>
        <v>-846.35</v>
      </c>
      <c r="O254" s="200"/>
      <c r="Q254" s="200"/>
    </row>
    <row r="255" spans="1:17" hidden="1" x14ac:dyDescent="0.4">
      <c r="A255" s="198">
        <v>43677</v>
      </c>
      <c r="B255" s="177">
        <v>191.1</v>
      </c>
      <c r="C255" s="177">
        <v>195.55</v>
      </c>
      <c r="D255" s="177">
        <v>188.38</v>
      </c>
      <c r="E255" s="177">
        <v>190.3</v>
      </c>
      <c r="G255" s="200"/>
      <c r="H255" s="199">
        <f t="shared" si="30"/>
        <v>5</v>
      </c>
      <c r="I255" s="200">
        <f t="shared" si="31"/>
        <v>-951.5</v>
      </c>
      <c r="J255" s="199">
        <f t="shared" si="32"/>
        <v>5</v>
      </c>
      <c r="K255" s="200">
        <f t="shared" si="33"/>
        <v>-977.75</v>
      </c>
      <c r="L255" s="199">
        <f t="shared" si="34"/>
        <v>5</v>
      </c>
      <c r="M255" s="200">
        <f t="shared" si="35"/>
        <v>-941.9</v>
      </c>
      <c r="O255" s="200"/>
      <c r="Q255" s="200"/>
    </row>
    <row r="256" spans="1:17" hidden="1" x14ac:dyDescent="0.4">
      <c r="A256" s="198">
        <v>43708</v>
      </c>
      <c r="B256" s="177">
        <v>187.47</v>
      </c>
      <c r="C256" s="177">
        <v>194.98</v>
      </c>
      <c r="D256" s="177">
        <v>179.2</v>
      </c>
      <c r="E256" s="177">
        <v>191.51</v>
      </c>
      <c r="G256" s="200"/>
      <c r="H256" s="199">
        <f t="shared" si="30"/>
        <v>5</v>
      </c>
      <c r="I256" s="200">
        <f t="shared" si="31"/>
        <v>-957.55</v>
      </c>
      <c r="J256" s="199">
        <f t="shared" si="32"/>
        <v>5</v>
      </c>
      <c r="K256" s="200">
        <f t="shared" si="33"/>
        <v>-974.9</v>
      </c>
      <c r="L256" s="199">
        <f t="shared" si="34"/>
        <v>5</v>
      </c>
      <c r="M256" s="200">
        <f t="shared" si="35"/>
        <v>-896</v>
      </c>
      <c r="O256" s="200"/>
      <c r="Q256" s="200"/>
    </row>
    <row r="257" spans="1:17" hidden="1" x14ac:dyDescent="0.4">
      <c r="A257" s="198">
        <v>43738</v>
      </c>
      <c r="B257" s="177">
        <v>188.81</v>
      </c>
      <c r="C257" s="177">
        <v>194.71</v>
      </c>
      <c r="D257" s="177">
        <v>185.03</v>
      </c>
      <c r="E257" s="177">
        <v>186.26</v>
      </c>
      <c r="G257" s="200"/>
      <c r="H257" s="199">
        <f t="shared" si="30"/>
        <v>5</v>
      </c>
      <c r="I257" s="200">
        <f t="shared" si="31"/>
        <v>-931.3</v>
      </c>
      <c r="J257" s="199">
        <f t="shared" si="32"/>
        <v>5</v>
      </c>
      <c r="K257" s="200">
        <f t="shared" si="33"/>
        <v>-973.55000000000007</v>
      </c>
      <c r="L257" s="199">
        <f t="shared" si="34"/>
        <v>5</v>
      </c>
      <c r="M257" s="200">
        <f t="shared" si="35"/>
        <v>-925.15</v>
      </c>
      <c r="O257" s="200"/>
      <c r="Q257" s="200"/>
    </row>
    <row r="258" spans="1:17" hidden="1" x14ac:dyDescent="0.4">
      <c r="A258" s="198">
        <v>43769</v>
      </c>
      <c r="B258" s="177">
        <v>197.08</v>
      </c>
      <c r="C258" s="177">
        <v>197.83</v>
      </c>
      <c r="D258" s="177">
        <v>181.82</v>
      </c>
      <c r="E258" s="177">
        <v>189.54</v>
      </c>
      <c r="G258" s="200"/>
      <c r="H258" s="199">
        <f t="shared" si="30"/>
        <v>5</v>
      </c>
      <c r="I258" s="200">
        <f t="shared" si="31"/>
        <v>-947.69999999999993</v>
      </c>
      <c r="J258" s="199">
        <f t="shared" si="32"/>
        <v>5</v>
      </c>
      <c r="K258" s="200">
        <f t="shared" si="33"/>
        <v>-989.15000000000009</v>
      </c>
      <c r="L258" s="199">
        <f t="shared" si="34"/>
        <v>5</v>
      </c>
      <c r="M258" s="200">
        <f t="shared" si="35"/>
        <v>-909.09999999999991</v>
      </c>
      <c r="O258" s="200"/>
      <c r="Q258" s="200"/>
    </row>
    <row r="259" spans="1:17" hidden="1" x14ac:dyDescent="0.4">
      <c r="A259" s="198">
        <v>43799</v>
      </c>
      <c r="B259" s="177">
        <v>205.1</v>
      </c>
      <c r="C259" s="177">
        <v>206.05</v>
      </c>
      <c r="D259" s="177">
        <v>197.63</v>
      </c>
      <c r="E259" s="177">
        <v>197.93</v>
      </c>
      <c r="G259" s="200"/>
      <c r="H259" s="199">
        <f t="shared" si="30"/>
        <v>5</v>
      </c>
      <c r="I259" s="200">
        <f t="shared" si="31"/>
        <v>-989.65000000000009</v>
      </c>
      <c r="J259" s="199">
        <f t="shared" si="32"/>
        <v>4</v>
      </c>
      <c r="K259" s="200">
        <f t="shared" si="33"/>
        <v>-824.2</v>
      </c>
      <c r="L259" s="199">
        <f t="shared" si="34"/>
        <v>5</v>
      </c>
      <c r="M259" s="200">
        <f t="shared" si="35"/>
        <v>-988.15</v>
      </c>
      <c r="O259" s="200"/>
      <c r="Q259" s="200"/>
    </row>
    <row r="260" spans="1:17" hidden="1" x14ac:dyDescent="0.4">
      <c r="A260" s="198">
        <v>43830</v>
      </c>
      <c r="B260" s="177">
        <v>212.61</v>
      </c>
      <c r="C260" s="177">
        <v>214.56</v>
      </c>
      <c r="D260" s="177">
        <v>193.79</v>
      </c>
      <c r="E260" s="177">
        <v>205.11</v>
      </c>
      <c r="G260" s="200"/>
      <c r="H260" s="199">
        <f t="shared" si="30"/>
        <v>4</v>
      </c>
      <c r="I260" s="200">
        <f t="shared" si="31"/>
        <v>-820.44</v>
      </c>
      <c r="J260" s="199">
        <f t="shared" si="32"/>
        <v>4</v>
      </c>
      <c r="K260" s="200">
        <f t="shared" si="33"/>
        <v>-858.24</v>
      </c>
      <c r="L260" s="199">
        <f t="shared" si="34"/>
        <v>5</v>
      </c>
      <c r="M260" s="200">
        <f t="shared" si="35"/>
        <v>-968.94999999999993</v>
      </c>
      <c r="O260" s="200"/>
      <c r="Q260" s="200"/>
    </row>
    <row r="261" spans="1:17" hidden="1" x14ac:dyDescent="0.4">
      <c r="A261" s="198">
        <v>43861</v>
      </c>
      <c r="B261" s="177">
        <v>219.07</v>
      </c>
      <c r="C261" s="177">
        <v>225.88</v>
      </c>
      <c r="D261" s="177">
        <v>212.24</v>
      </c>
      <c r="E261" s="177">
        <v>214.4</v>
      </c>
      <c r="G261" s="200"/>
      <c r="H261" s="199">
        <f t="shared" si="30"/>
        <v>4</v>
      </c>
      <c r="I261" s="200">
        <f t="shared" si="31"/>
        <v>-857.6</v>
      </c>
      <c r="J261" s="199">
        <f t="shared" si="32"/>
        <v>4</v>
      </c>
      <c r="K261" s="200">
        <f t="shared" si="33"/>
        <v>-903.52</v>
      </c>
      <c r="L261" s="199">
        <f t="shared" si="34"/>
        <v>4</v>
      </c>
      <c r="M261" s="200">
        <f t="shared" si="35"/>
        <v>-848.96</v>
      </c>
      <c r="N261" s="199">
        <f>INT(N$1/MAX(C261:C272))</f>
        <v>38</v>
      </c>
      <c r="O261" s="200">
        <f>N261*-MAX(C261:C272)</f>
        <v>-11958.22</v>
      </c>
      <c r="P261" s="199">
        <f>INT(P$1/MIN(D261:D272))</f>
        <v>72</v>
      </c>
      <c r="Q261" s="200">
        <f>P261*-MIN(D261:D272)</f>
        <v>-11874.960000000001</v>
      </c>
    </row>
    <row r="262" spans="1:17" hidden="1" x14ac:dyDescent="0.4">
      <c r="A262" s="198">
        <v>43890</v>
      </c>
      <c r="B262" s="177">
        <v>205.8</v>
      </c>
      <c r="C262" s="177">
        <v>237.47</v>
      </c>
      <c r="D262" s="177">
        <v>198.17</v>
      </c>
      <c r="E262" s="177">
        <v>220.14</v>
      </c>
      <c r="G262" s="200"/>
      <c r="H262" s="199">
        <f t="shared" si="30"/>
        <v>4</v>
      </c>
      <c r="I262" s="200">
        <f t="shared" si="31"/>
        <v>-880.56</v>
      </c>
      <c r="J262" s="199">
        <f t="shared" si="32"/>
        <v>4</v>
      </c>
      <c r="K262" s="200">
        <f t="shared" si="33"/>
        <v>-949.88</v>
      </c>
      <c r="L262" s="199">
        <f t="shared" si="34"/>
        <v>5</v>
      </c>
      <c r="M262" s="200">
        <f t="shared" si="35"/>
        <v>-990.84999999999991</v>
      </c>
      <c r="O262" s="200"/>
      <c r="Q262" s="200"/>
    </row>
    <row r="263" spans="1:17" hidden="1" x14ac:dyDescent="0.4">
      <c r="A263" s="198">
        <v>43921</v>
      </c>
      <c r="B263" s="177">
        <v>190.4</v>
      </c>
      <c r="C263" s="177">
        <v>219.61</v>
      </c>
      <c r="D263" s="177">
        <v>164.93</v>
      </c>
      <c r="E263" s="177">
        <v>208.88</v>
      </c>
      <c r="G263" s="200"/>
      <c r="H263" s="199">
        <f t="shared" si="30"/>
        <v>4</v>
      </c>
      <c r="I263" s="200">
        <f t="shared" si="31"/>
        <v>-835.52</v>
      </c>
      <c r="J263" s="199">
        <f t="shared" si="32"/>
        <v>4</v>
      </c>
      <c r="K263" s="200">
        <f t="shared" si="33"/>
        <v>-878.44</v>
      </c>
      <c r="L263" s="199">
        <f t="shared" si="34"/>
        <v>6</v>
      </c>
      <c r="M263" s="200">
        <f t="shared" si="35"/>
        <v>-989.58</v>
      </c>
      <c r="O263" s="200"/>
      <c r="Q263" s="200"/>
    </row>
    <row r="264" spans="1:17" hidden="1" x14ac:dyDescent="0.4">
      <c r="A264" s="198">
        <v>43951</v>
      </c>
      <c r="B264" s="177">
        <v>218.91</v>
      </c>
      <c r="C264" s="177">
        <v>220.04</v>
      </c>
      <c r="D264" s="177">
        <v>180.86</v>
      </c>
      <c r="E264" s="177">
        <v>184.81</v>
      </c>
      <c r="G264" s="200"/>
      <c r="H264" s="199">
        <f t="shared" si="30"/>
        <v>5</v>
      </c>
      <c r="I264" s="200">
        <f t="shared" si="31"/>
        <v>-924.05</v>
      </c>
      <c r="J264" s="199">
        <f t="shared" si="32"/>
        <v>4</v>
      </c>
      <c r="K264" s="200">
        <f t="shared" si="33"/>
        <v>-880.16</v>
      </c>
      <c r="L264" s="199">
        <f t="shared" si="34"/>
        <v>5</v>
      </c>
      <c r="M264" s="200">
        <f t="shared" si="35"/>
        <v>-904.30000000000007</v>
      </c>
      <c r="O264" s="200"/>
      <c r="Q264" s="200"/>
    </row>
    <row r="265" spans="1:17" hidden="1" x14ac:dyDescent="0.4">
      <c r="A265" s="198">
        <v>43982</v>
      </c>
      <c r="B265" s="177">
        <v>233.36</v>
      </c>
      <c r="C265" s="177">
        <v>233.6</v>
      </c>
      <c r="D265" s="177">
        <v>211.12</v>
      </c>
      <c r="E265" s="177">
        <v>214.54</v>
      </c>
      <c r="G265" s="200"/>
      <c r="H265" s="199">
        <f t="shared" si="30"/>
        <v>4</v>
      </c>
      <c r="I265" s="200">
        <f t="shared" si="31"/>
        <v>-858.16</v>
      </c>
      <c r="J265" s="199">
        <f t="shared" si="32"/>
        <v>4</v>
      </c>
      <c r="K265" s="200">
        <f t="shared" si="33"/>
        <v>-934.4</v>
      </c>
      <c r="L265" s="199">
        <f t="shared" si="34"/>
        <v>4</v>
      </c>
      <c r="M265" s="200">
        <f t="shared" si="35"/>
        <v>-844.48</v>
      </c>
      <c r="O265" s="200"/>
      <c r="Q265" s="200"/>
    </row>
    <row r="266" spans="1:17" hidden="1" x14ac:dyDescent="0.4">
      <c r="A266" s="198">
        <v>44012</v>
      </c>
      <c r="B266" s="177">
        <v>247.6</v>
      </c>
      <c r="C266" s="177">
        <v>251.15</v>
      </c>
      <c r="D266" s="177">
        <v>231.47</v>
      </c>
      <c r="E266" s="177">
        <v>232.4</v>
      </c>
      <c r="G266" s="200"/>
      <c r="H266" s="199">
        <f t="shared" si="30"/>
        <v>4</v>
      </c>
      <c r="I266" s="200">
        <f t="shared" si="31"/>
        <v>-929.6</v>
      </c>
      <c r="J266" s="199">
        <f t="shared" si="32"/>
        <v>3</v>
      </c>
      <c r="K266" s="200">
        <f t="shared" si="33"/>
        <v>-753.45</v>
      </c>
      <c r="L266" s="199">
        <f t="shared" si="34"/>
        <v>4</v>
      </c>
      <c r="M266" s="200">
        <f t="shared" si="35"/>
        <v>-925.88</v>
      </c>
      <c r="O266" s="200"/>
      <c r="Q266" s="200"/>
    </row>
    <row r="267" spans="1:17" hidden="1" x14ac:dyDescent="0.4">
      <c r="A267" s="198">
        <v>44043</v>
      </c>
      <c r="B267" s="177">
        <v>265.79000000000002</v>
      </c>
      <c r="C267" s="177">
        <v>269.79000000000002</v>
      </c>
      <c r="D267" s="177">
        <v>247.08</v>
      </c>
      <c r="E267" s="177">
        <v>247.66</v>
      </c>
      <c r="G267" s="200"/>
      <c r="H267" s="199">
        <f t="shared" ref="H267:H306" si="36">INT(H$1/$E267)</f>
        <v>4</v>
      </c>
      <c r="I267" s="200">
        <f t="shared" ref="I267:I306" si="37">-H267*E267</f>
        <v>-990.64</v>
      </c>
      <c r="J267" s="199">
        <f t="shared" si="32"/>
        <v>3</v>
      </c>
      <c r="K267" s="200">
        <f t="shared" si="33"/>
        <v>-809.37000000000012</v>
      </c>
      <c r="L267" s="199">
        <f t="shared" si="34"/>
        <v>4</v>
      </c>
      <c r="M267" s="200">
        <f t="shared" si="35"/>
        <v>-988.32</v>
      </c>
      <c r="O267" s="200"/>
      <c r="Q267" s="200"/>
    </row>
    <row r="268" spans="1:17" hidden="1" x14ac:dyDescent="0.4">
      <c r="A268" s="198">
        <v>44074</v>
      </c>
      <c r="B268" s="177">
        <v>294.88</v>
      </c>
      <c r="C268" s="177">
        <v>296.75</v>
      </c>
      <c r="D268" s="177">
        <v>264.63</v>
      </c>
      <c r="E268" s="177">
        <v>268.05</v>
      </c>
      <c r="G268" s="200"/>
      <c r="H268" s="199">
        <f t="shared" si="36"/>
        <v>3</v>
      </c>
      <c r="I268" s="200">
        <f t="shared" si="37"/>
        <v>-804.15000000000009</v>
      </c>
      <c r="J268" s="199">
        <f t="shared" si="32"/>
        <v>3</v>
      </c>
      <c r="K268" s="200">
        <f t="shared" si="33"/>
        <v>-890.25</v>
      </c>
      <c r="L268" s="199">
        <f t="shared" si="34"/>
        <v>3</v>
      </c>
      <c r="M268" s="200">
        <f t="shared" si="35"/>
        <v>-793.89</v>
      </c>
      <c r="O268" s="200"/>
      <c r="Q268" s="200"/>
    </row>
    <row r="269" spans="1:17" hidden="1" x14ac:dyDescent="0.4">
      <c r="A269" s="198">
        <v>44104</v>
      </c>
      <c r="B269" s="177">
        <v>277.83999999999997</v>
      </c>
      <c r="C269" s="177">
        <v>303.5</v>
      </c>
      <c r="D269" s="177">
        <v>260.11</v>
      </c>
      <c r="E269" s="177">
        <v>297.60000000000002</v>
      </c>
      <c r="G269" s="200"/>
      <c r="H269" s="199">
        <f t="shared" si="36"/>
        <v>3</v>
      </c>
      <c r="I269" s="200">
        <f t="shared" si="37"/>
        <v>-892.80000000000007</v>
      </c>
      <c r="J269" s="199">
        <f t="shared" si="32"/>
        <v>3</v>
      </c>
      <c r="K269" s="200">
        <f t="shared" si="33"/>
        <v>-910.5</v>
      </c>
      <c r="L269" s="199">
        <f t="shared" si="34"/>
        <v>3</v>
      </c>
      <c r="M269" s="200">
        <f t="shared" si="35"/>
        <v>-780.33</v>
      </c>
      <c r="O269" s="200"/>
      <c r="Q269" s="200"/>
    </row>
    <row r="270" spans="1:17" hidden="1" x14ac:dyDescent="0.4">
      <c r="A270" s="198">
        <v>44135</v>
      </c>
      <c r="B270" s="177">
        <v>269.38</v>
      </c>
      <c r="C270" s="177">
        <v>297.45999999999998</v>
      </c>
      <c r="D270" s="177">
        <v>267.07</v>
      </c>
      <c r="E270" s="177">
        <v>281.79000000000002</v>
      </c>
      <c r="G270" s="200"/>
      <c r="H270" s="199">
        <f t="shared" si="36"/>
        <v>3</v>
      </c>
      <c r="I270" s="200">
        <f t="shared" si="37"/>
        <v>-845.37000000000012</v>
      </c>
      <c r="J270" s="199">
        <f t="shared" ref="J270:J320" si="38">INT(J$1/$C270)</f>
        <v>3</v>
      </c>
      <c r="K270" s="200">
        <f t="shared" ref="K270:K320" si="39">-J270*$C270</f>
        <v>-892.37999999999988</v>
      </c>
      <c r="L270" s="199">
        <f t="shared" si="34"/>
        <v>3</v>
      </c>
      <c r="M270" s="200">
        <f t="shared" si="35"/>
        <v>-801.21</v>
      </c>
      <c r="O270" s="200"/>
      <c r="Q270" s="200"/>
    </row>
    <row r="271" spans="1:17" hidden="1" x14ac:dyDescent="0.4">
      <c r="A271" s="198">
        <v>44165</v>
      </c>
      <c r="B271" s="177">
        <v>299.62</v>
      </c>
      <c r="C271" s="177">
        <v>300.17</v>
      </c>
      <c r="D271" s="177">
        <v>266.97000000000003</v>
      </c>
      <c r="E271" s="177">
        <v>271.73</v>
      </c>
      <c r="G271" s="200"/>
      <c r="H271" s="199">
        <f t="shared" si="36"/>
        <v>3</v>
      </c>
      <c r="I271" s="200">
        <f t="shared" si="37"/>
        <v>-815.19</v>
      </c>
      <c r="J271" s="199">
        <f t="shared" si="38"/>
        <v>3</v>
      </c>
      <c r="K271" s="200">
        <f t="shared" si="39"/>
        <v>-900.51</v>
      </c>
      <c r="L271" s="199">
        <f t="shared" ref="L271:L321" si="40">INT(L$1/$D271)</f>
        <v>3</v>
      </c>
      <c r="M271" s="200">
        <f t="shared" ref="M271:M321" si="41">-L271*$D271</f>
        <v>-800.91000000000008</v>
      </c>
      <c r="O271" s="200"/>
      <c r="Q271" s="200"/>
    </row>
    <row r="272" spans="1:17" hidden="1" x14ac:dyDescent="0.4">
      <c r="A272" s="198">
        <v>44196</v>
      </c>
      <c r="B272" s="177">
        <v>313.74</v>
      </c>
      <c r="C272" s="177">
        <v>314.69</v>
      </c>
      <c r="D272" s="177">
        <v>298.08999999999997</v>
      </c>
      <c r="E272" s="177">
        <v>301.87</v>
      </c>
      <c r="G272" s="200"/>
      <c r="H272" s="199">
        <f t="shared" si="36"/>
        <v>3</v>
      </c>
      <c r="I272" s="200">
        <f t="shared" si="37"/>
        <v>-905.61</v>
      </c>
      <c r="J272" s="199">
        <f t="shared" si="38"/>
        <v>3</v>
      </c>
      <c r="K272" s="200">
        <f t="shared" si="39"/>
        <v>-944.06999999999994</v>
      </c>
      <c r="L272" s="199">
        <f t="shared" si="40"/>
        <v>3</v>
      </c>
      <c r="M272" s="200">
        <f t="shared" si="41"/>
        <v>-894.27</v>
      </c>
      <c r="O272" s="200"/>
      <c r="Q272" s="200"/>
    </row>
    <row r="273" spans="1:17" hidden="1" x14ac:dyDescent="0.4">
      <c r="A273" s="198">
        <v>44227</v>
      </c>
      <c r="B273" s="177">
        <v>314.56</v>
      </c>
      <c r="C273" s="177">
        <v>330.32</v>
      </c>
      <c r="D273" s="177">
        <v>305.18</v>
      </c>
      <c r="E273" s="177">
        <v>315.11</v>
      </c>
      <c r="G273" s="200"/>
      <c r="H273" s="199">
        <f t="shared" si="36"/>
        <v>3</v>
      </c>
      <c r="I273" s="200">
        <f t="shared" si="37"/>
        <v>-945.33</v>
      </c>
      <c r="J273" s="199">
        <f t="shared" si="38"/>
        <v>3</v>
      </c>
      <c r="K273" s="200">
        <f t="shared" si="39"/>
        <v>-990.96</v>
      </c>
      <c r="L273" s="199">
        <f t="shared" si="40"/>
        <v>3</v>
      </c>
      <c r="M273" s="200">
        <f t="shared" si="41"/>
        <v>-915.54</v>
      </c>
      <c r="N273" s="199">
        <f>INT(N$1/MAX(C273:C284))</f>
        <v>29</v>
      </c>
      <c r="O273" s="200">
        <f>N273*-MAX(C273:C284)</f>
        <v>-11852.59</v>
      </c>
      <c r="P273" s="199">
        <f>INT(P$1/MIN(D273:D284))</f>
        <v>40</v>
      </c>
      <c r="Q273" s="200">
        <f>P273*-MIN(D273:D284)</f>
        <v>-11898</v>
      </c>
    </row>
    <row r="274" spans="1:17" hidden="1" x14ac:dyDescent="0.4">
      <c r="A274" s="198">
        <v>44255</v>
      </c>
      <c r="B274" s="177">
        <v>314.14</v>
      </c>
      <c r="C274" s="177">
        <v>338.19</v>
      </c>
      <c r="D274" s="177">
        <v>310.88</v>
      </c>
      <c r="E274" s="177">
        <v>318.11</v>
      </c>
      <c r="G274" s="200"/>
      <c r="H274" s="199">
        <f t="shared" si="36"/>
        <v>3</v>
      </c>
      <c r="I274" s="200">
        <f t="shared" si="37"/>
        <v>-954.33</v>
      </c>
      <c r="J274" s="199">
        <f t="shared" si="38"/>
        <v>2</v>
      </c>
      <c r="K274" s="200">
        <f t="shared" si="39"/>
        <v>-676.38</v>
      </c>
      <c r="L274" s="199">
        <f t="shared" si="40"/>
        <v>3</v>
      </c>
      <c r="M274" s="200">
        <f t="shared" si="41"/>
        <v>-932.64</v>
      </c>
      <c r="O274" s="200"/>
      <c r="Q274" s="200"/>
    </row>
    <row r="275" spans="1:17" hidden="1" x14ac:dyDescent="0.4">
      <c r="A275" s="198">
        <v>44286</v>
      </c>
      <c r="B275" s="177">
        <v>319.13</v>
      </c>
      <c r="C275" s="177">
        <v>324.33</v>
      </c>
      <c r="D275" s="177">
        <v>297.45</v>
      </c>
      <c r="E275" s="177">
        <v>319.27</v>
      </c>
      <c r="G275" s="200"/>
      <c r="H275" s="199">
        <f t="shared" si="36"/>
        <v>3</v>
      </c>
      <c r="I275" s="200">
        <f t="shared" si="37"/>
        <v>-957.81</v>
      </c>
      <c r="J275" s="199">
        <f t="shared" si="38"/>
        <v>3</v>
      </c>
      <c r="K275" s="200">
        <f t="shared" si="39"/>
        <v>-972.99</v>
      </c>
      <c r="L275" s="199">
        <f t="shared" si="40"/>
        <v>3</v>
      </c>
      <c r="M275" s="200">
        <f t="shared" si="41"/>
        <v>-892.34999999999991</v>
      </c>
      <c r="O275" s="200"/>
      <c r="Q275" s="200"/>
    </row>
    <row r="276" spans="1:17" hidden="1" x14ac:dyDescent="0.4">
      <c r="A276" s="198">
        <v>44316</v>
      </c>
      <c r="B276" s="177">
        <v>337.99</v>
      </c>
      <c r="C276" s="177">
        <v>342.8</v>
      </c>
      <c r="D276" s="177">
        <v>322.81</v>
      </c>
      <c r="E276" s="177">
        <v>323.07</v>
      </c>
      <c r="G276" s="200"/>
      <c r="H276" s="199">
        <f t="shared" si="36"/>
        <v>3</v>
      </c>
      <c r="I276" s="200">
        <f t="shared" si="37"/>
        <v>-969.21</v>
      </c>
      <c r="J276" s="199">
        <f t="shared" si="38"/>
        <v>2</v>
      </c>
      <c r="K276" s="200">
        <f t="shared" si="39"/>
        <v>-685.6</v>
      </c>
      <c r="L276" s="199">
        <f t="shared" si="40"/>
        <v>3</v>
      </c>
      <c r="M276" s="200">
        <f t="shared" si="41"/>
        <v>-968.43000000000006</v>
      </c>
      <c r="O276" s="200"/>
      <c r="Q276" s="200"/>
    </row>
    <row r="277" spans="1:17" hidden="1" x14ac:dyDescent="0.4">
      <c r="A277" s="198">
        <v>44347</v>
      </c>
      <c r="B277" s="177">
        <v>333.93</v>
      </c>
      <c r="C277" s="177">
        <v>340</v>
      </c>
      <c r="D277" s="177">
        <v>316</v>
      </c>
      <c r="E277" s="177">
        <v>339.23</v>
      </c>
      <c r="G277" s="200"/>
      <c r="H277" s="199">
        <f t="shared" si="36"/>
        <v>2</v>
      </c>
      <c r="I277" s="200">
        <f t="shared" si="37"/>
        <v>-678.46</v>
      </c>
      <c r="J277" s="199">
        <f t="shared" si="38"/>
        <v>2</v>
      </c>
      <c r="K277" s="200">
        <f t="shared" si="39"/>
        <v>-680</v>
      </c>
      <c r="L277" s="199">
        <f t="shared" si="40"/>
        <v>3</v>
      </c>
      <c r="M277" s="200">
        <f t="shared" si="41"/>
        <v>-948</v>
      </c>
      <c r="O277" s="200"/>
      <c r="Q277" s="200"/>
    </row>
    <row r="278" spans="1:17" hidden="1" x14ac:dyDescent="0.4">
      <c r="A278" s="198">
        <v>44377</v>
      </c>
      <c r="B278" s="177">
        <v>354.43</v>
      </c>
      <c r="C278" s="177">
        <v>355.23</v>
      </c>
      <c r="D278" s="177">
        <v>328.28</v>
      </c>
      <c r="E278" s="177">
        <v>335.3</v>
      </c>
      <c r="G278" s="200"/>
      <c r="H278" s="199">
        <f t="shared" si="36"/>
        <v>2</v>
      </c>
      <c r="I278" s="200">
        <f t="shared" si="37"/>
        <v>-670.6</v>
      </c>
      <c r="J278" s="199">
        <f t="shared" si="38"/>
        <v>2</v>
      </c>
      <c r="K278" s="200">
        <f t="shared" si="39"/>
        <v>-710.46</v>
      </c>
      <c r="L278" s="199">
        <f t="shared" si="40"/>
        <v>3</v>
      </c>
      <c r="M278" s="200">
        <f t="shared" si="41"/>
        <v>-984.83999999999992</v>
      </c>
      <c r="O278" s="200"/>
      <c r="Q278" s="200"/>
    </row>
    <row r="279" spans="1:17" hidden="1" x14ac:dyDescent="0.4">
      <c r="A279" s="198">
        <v>44408</v>
      </c>
      <c r="B279" s="177">
        <v>364.57</v>
      </c>
      <c r="C279" s="177">
        <v>368.89</v>
      </c>
      <c r="D279" s="177">
        <v>352.04</v>
      </c>
      <c r="E279" s="177">
        <v>354.07</v>
      </c>
      <c r="G279" s="200"/>
      <c r="H279" s="199">
        <f t="shared" si="36"/>
        <v>2</v>
      </c>
      <c r="I279" s="200">
        <f t="shared" si="37"/>
        <v>-708.14</v>
      </c>
      <c r="J279" s="199">
        <f t="shared" si="38"/>
        <v>2</v>
      </c>
      <c r="K279" s="200">
        <f t="shared" si="39"/>
        <v>-737.78</v>
      </c>
      <c r="L279" s="199">
        <f t="shared" si="40"/>
        <v>2</v>
      </c>
      <c r="M279" s="200">
        <f t="shared" si="41"/>
        <v>-704.08</v>
      </c>
      <c r="O279" s="200"/>
      <c r="Q279" s="200"/>
    </row>
    <row r="280" spans="1:17" hidden="1" x14ac:dyDescent="0.4">
      <c r="A280" s="198">
        <v>44439</v>
      </c>
      <c r="B280" s="177">
        <v>379.95</v>
      </c>
      <c r="C280" s="177">
        <v>380.76</v>
      </c>
      <c r="D280" s="177">
        <v>359.96</v>
      </c>
      <c r="E280" s="177">
        <v>366.28</v>
      </c>
      <c r="G280" s="200"/>
      <c r="H280" s="199">
        <f t="shared" si="36"/>
        <v>2</v>
      </c>
      <c r="I280" s="200">
        <f t="shared" si="37"/>
        <v>-732.56</v>
      </c>
      <c r="J280" s="199">
        <f t="shared" si="38"/>
        <v>2</v>
      </c>
      <c r="K280" s="200">
        <f t="shared" si="39"/>
        <v>-761.52</v>
      </c>
      <c r="L280" s="199">
        <f t="shared" si="40"/>
        <v>2</v>
      </c>
      <c r="M280" s="200">
        <f t="shared" si="41"/>
        <v>-719.92</v>
      </c>
      <c r="O280" s="200"/>
      <c r="Q280" s="200"/>
    </row>
    <row r="281" spans="1:17" hidden="1" x14ac:dyDescent="0.4">
      <c r="A281" s="198">
        <v>44469</v>
      </c>
      <c r="B281" s="177">
        <v>357.96</v>
      </c>
      <c r="C281" s="177">
        <v>382.78</v>
      </c>
      <c r="D281" s="177">
        <v>357.1</v>
      </c>
      <c r="E281" s="177">
        <v>381.04</v>
      </c>
      <c r="G281" s="200"/>
      <c r="H281" s="199">
        <f t="shared" si="36"/>
        <v>2</v>
      </c>
      <c r="I281" s="200">
        <f t="shared" si="37"/>
        <v>-762.08</v>
      </c>
      <c r="J281" s="199">
        <f t="shared" si="38"/>
        <v>2</v>
      </c>
      <c r="K281" s="200">
        <f t="shared" si="39"/>
        <v>-765.56</v>
      </c>
      <c r="L281" s="199">
        <f t="shared" si="40"/>
        <v>2</v>
      </c>
      <c r="M281" s="200">
        <f t="shared" si="41"/>
        <v>-714.2</v>
      </c>
      <c r="O281" s="200"/>
      <c r="Q281" s="200"/>
    </row>
    <row r="282" spans="1:17" hidden="1" x14ac:dyDescent="0.4">
      <c r="A282" s="198">
        <v>44500</v>
      </c>
      <c r="B282" s="177">
        <v>386.11</v>
      </c>
      <c r="C282" s="177">
        <v>386.28</v>
      </c>
      <c r="D282" s="177">
        <v>350.32</v>
      </c>
      <c r="E282" s="177">
        <v>358.6</v>
      </c>
      <c r="G282" s="200"/>
      <c r="H282" s="199">
        <f t="shared" si="36"/>
        <v>2</v>
      </c>
      <c r="I282" s="200">
        <f t="shared" si="37"/>
        <v>-717.2</v>
      </c>
      <c r="J282" s="199">
        <f t="shared" si="38"/>
        <v>2</v>
      </c>
      <c r="K282" s="200">
        <f t="shared" si="39"/>
        <v>-772.56</v>
      </c>
      <c r="L282" s="199">
        <f t="shared" si="40"/>
        <v>2</v>
      </c>
      <c r="M282" s="200">
        <f t="shared" si="41"/>
        <v>-700.64</v>
      </c>
      <c r="O282" s="200"/>
      <c r="Q282" s="200"/>
    </row>
    <row r="283" spans="1:17" hidden="1" x14ac:dyDescent="0.4">
      <c r="A283" s="198">
        <v>44530</v>
      </c>
      <c r="B283" s="177">
        <v>393.82</v>
      </c>
      <c r="C283" s="177">
        <v>408.71</v>
      </c>
      <c r="D283" s="177">
        <v>384.42</v>
      </c>
      <c r="E283" s="177">
        <v>386.56</v>
      </c>
      <c r="G283" s="200"/>
      <c r="H283" s="199">
        <f t="shared" si="36"/>
        <v>2</v>
      </c>
      <c r="I283" s="200">
        <f t="shared" si="37"/>
        <v>-773.12</v>
      </c>
      <c r="J283" s="199">
        <f t="shared" si="38"/>
        <v>2</v>
      </c>
      <c r="K283" s="200">
        <f t="shared" si="39"/>
        <v>-817.42</v>
      </c>
      <c r="L283" s="199">
        <f t="shared" si="40"/>
        <v>2</v>
      </c>
      <c r="M283" s="200">
        <f t="shared" si="41"/>
        <v>-768.84</v>
      </c>
      <c r="O283" s="200"/>
      <c r="Q283" s="200"/>
    </row>
    <row r="284" spans="1:17" hidden="1" x14ac:dyDescent="0.4">
      <c r="A284" s="198">
        <v>44561</v>
      </c>
      <c r="B284" s="177">
        <v>397.85</v>
      </c>
      <c r="C284" s="177">
        <v>404.58</v>
      </c>
      <c r="D284" s="177">
        <v>377.47</v>
      </c>
      <c r="E284" s="177">
        <v>398.28</v>
      </c>
      <c r="G284" s="200"/>
      <c r="H284" s="199">
        <f t="shared" si="36"/>
        <v>2</v>
      </c>
      <c r="I284" s="200">
        <f t="shared" si="37"/>
        <v>-796.56</v>
      </c>
      <c r="J284" s="199">
        <f t="shared" si="38"/>
        <v>2</v>
      </c>
      <c r="K284" s="200">
        <f t="shared" si="39"/>
        <v>-809.16</v>
      </c>
      <c r="L284" s="199">
        <f t="shared" si="40"/>
        <v>2</v>
      </c>
      <c r="M284" s="200">
        <f t="shared" si="41"/>
        <v>-754.94</v>
      </c>
      <c r="O284" s="200"/>
      <c r="Q284" s="200"/>
    </row>
    <row r="285" spans="1:17" hidden="1" x14ac:dyDescent="0.4">
      <c r="A285" s="198">
        <v>44592</v>
      </c>
      <c r="B285" s="177">
        <v>363.05</v>
      </c>
      <c r="C285" s="177">
        <v>402.28</v>
      </c>
      <c r="D285" s="177">
        <v>334.15</v>
      </c>
      <c r="E285" s="177">
        <v>399.05</v>
      </c>
      <c r="G285" s="200"/>
      <c r="H285" s="199">
        <f t="shared" si="36"/>
        <v>2</v>
      </c>
      <c r="I285" s="200">
        <f t="shared" si="37"/>
        <v>-798.1</v>
      </c>
      <c r="J285" s="199">
        <f t="shared" si="38"/>
        <v>2</v>
      </c>
      <c r="K285" s="200">
        <f t="shared" si="39"/>
        <v>-804.56</v>
      </c>
      <c r="L285" s="199">
        <f t="shared" si="40"/>
        <v>2</v>
      </c>
      <c r="M285" s="200">
        <f t="shared" si="41"/>
        <v>-668.3</v>
      </c>
      <c r="N285" s="199">
        <f>INT(N$1/MAX(C285:C296))</f>
        <v>29</v>
      </c>
      <c r="O285" s="200">
        <f>N285*-MAX(C285:C296)</f>
        <v>-11666.119999999999</v>
      </c>
      <c r="P285" s="199">
        <f>INT(P$1/MIN(D285:D296))</f>
        <v>47</v>
      </c>
      <c r="Q285" s="200">
        <f>P285*-MIN(D285:D296)</f>
        <v>-11950.22</v>
      </c>
    </row>
    <row r="286" spans="1:17" hidden="1" x14ac:dyDescent="0.4">
      <c r="A286" s="198">
        <v>44620</v>
      </c>
      <c r="B286" s="177">
        <v>346.8</v>
      </c>
      <c r="C286" s="177">
        <v>370.1</v>
      </c>
      <c r="D286" s="177">
        <v>318.26</v>
      </c>
      <c r="E286" s="177">
        <v>364.43</v>
      </c>
      <c r="G286" s="200"/>
      <c r="H286" s="199">
        <f t="shared" si="36"/>
        <v>2</v>
      </c>
      <c r="I286" s="200">
        <f t="shared" si="37"/>
        <v>-728.86</v>
      </c>
      <c r="J286" s="199">
        <f t="shared" si="38"/>
        <v>2</v>
      </c>
      <c r="K286" s="200">
        <f t="shared" si="39"/>
        <v>-740.2</v>
      </c>
      <c r="L286" s="199">
        <f t="shared" si="40"/>
        <v>3</v>
      </c>
      <c r="M286" s="200">
        <f t="shared" si="41"/>
        <v>-954.78</v>
      </c>
      <c r="O286" s="200"/>
      <c r="Q286" s="200"/>
    </row>
    <row r="287" spans="1:17" hidden="1" x14ac:dyDescent="0.4">
      <c r="A287" s="198">
        <v>44651</v>
      </c>
      <c r="B287" s="177">
        <v>362.54</v>
      </c>
      <c r="C287" s="177">
        <v>371.83</v>
      </c>
      <c r="D287" s="177">
        <v>317.45</v>
      </c>
      <c r="E287" s="177">
        <v>345.75</v>
      </c>
      <c r="G287" s="200"/>
      <c r="H287" s="199">
        <f t="shared" si="36"/>
        <v>2</v>
      </c>
      <c r="I287" s="200">
        <f t="shared" si="37"/>
        <v>-691.5</v>
      </c>
      <c r="J287" s="199">
        <f t="shared" si="38"/>
        <v>2</v>
      </c>
      <c r="K287" s="200">
        <f t="shared" si="39"/>
        <v>-743.66</v>
      </c>
      <c r="L287" s="199">
        <f t="shared" si="40"/>
        <v>3</v>
      </c>
      <c r="M287" s="200">
        <f t="shared" si="41"/>
        <v>-952.34999999999991</v>
      </c>
      <c r="O287" s="200"/>
      <c r="Q287" s="200"/>
    </row>
    <row r="288" spans="1:17" hidden="1" x14ac:dyDescent="0.4">
      <c r="A288" s="198">
        <v>44681</v>
      </c>
      <c r="B288" s="177">
        <v>313.25</v>
      </c>
      <c r="C288" s="177">
        <v>369.31</v>
      </c>
      <c r="D288" s="177">
        <v>312.60000000000002</v>
      </c>
      <c r="E288" s="177">
        <v>362.81</v>
      </c>
      <c r="G288" s="200"/>
      <c r="H288" s="199">
        <f t="shared" si="36"/>
        <v>2</v>
      </c>
      <c r="I288" s="200">
        <f t="shared" si="37"/>
        <v>-725.62</v>
      </c>
      <c r="J288" s="199">
        <f t="shared" si="38"/>
        <v>2</v>
      </c>
      <c r="K288" s="200">
        <f t="shared" si="39"/>
        <v>-738.62</v>
      </c>
      <c r="L288" s="199">
        <f t="shared" si="40"/>
        <v>3</v>
      </c>
      <c r="M288" s="200">
        <f t="shared" si="41"/>
        <v>-937.80000000000007</v>
      </c>
      <c r="O288" s="200"/>
      <c r="Q288" s="200"/>
    </row>
    <row r="289" spans="1:17" hidden="1" x14ac:dyDescent="0.4">
      <c r="A289" s="198">
        <v>44712</v>
      </c>
      <c r="B289" s="177">
        <v>308.27999999999997</v>
      </c>
      <c r="C289" s="177">
        <v>330.29</v>
      </c>
      <c r="D289" s="177">
        <v>280.20999999999998</v>
      </c>
      <c r="E289" s="177">
        <v>312.83</v>
      </c>
      <c r="G289" s="200"/>
      <c r="H289" s="199">
        <f t="shared" si="36"/>
        <v>3</v>
      </c>
      <c r="I289" s="200">
        <f t="shared" si="37"/>
        <v>-938.49</v>
      </c>
      <c r="J289" s="199">
        <f t="shared" si="38"/>
        <v>3</v>
      </c>
      <c r="K289" s="200">
        <f t="shared" si="39"/>
        <v>-990.87000000000012</v>
      </c>
      <c r="L289" s="199">
        <f t="shared" si="40"/>
        <v>3</v>
      </c>
      <c r="M289" s="200">
        <f t="shared" si="41"/>
        <v>-840.62999999999988</v>
      </c>
      <c r="O289" s="200"/>
      <c r="Q289" s="200"/>
    </row>
    <row r="290" spans="1:17" hidden="1" x14ac:dyDescent="0.4">
      <c r="A290" s="198">
        <v>44742</v>
      </c>
      <c r="B290" s="177">
        <v>280.27999999999997</v>
      </c>
      <c r="C290" s="177">
        <v>314.56</v>
      </c>
      <c r="D290" s="177">
        <v>269.27999999999997</v>
      </c>
      <c r="E290" s="177">
        <v>310.47000000000003</v>
      </c>
      <c r="G290" s="200"/>
      <c r="H290" s="199">
        <f t="shared" si="36"/>
        <v>3</v>
      </c>
      <c r="I290" s="200">
        <f t="shared" si="37"/>
        <v>-931.41000000000008</v>
      </c>
      <c r="J290" s="199">
        <f t="shared" si="38"/>
        <v>3</v>
      </c>
      <c r="K290" s="200">
        <f t="shared" si="39"/>
        <v>-943.68000000000006</v>
      </c>
      <c r="L290" s="199">
        <f t="shared" si="40"/>
        <v>3</v>
      </c>
      <c r="M290" s="200">
        <f t="shared" si="41"/>
        <v>-807.83999999999992</v>
      </c>
      <c r="O290" s="200"/>
      <c r="Q290" s="200"/>
    </row>
    <row r="291" spans="1:17" hidden="1" x14ac:dyDescent="0.4">
      <c r="A291" s="198">
        <v>44773</v>
      </c>
      <c r="B291" s="177">
        <v>315.45999999999998</v>
      </c>
      <c r="C291" s="177">
        <v>316.39</v>
      </c>
      <c r="D291" s="177">
        <v>276.75</v>
      </c>
      <c r="E291" s="177">
        <v>278.95</v>
      </c>
      <c r="G291" s="200"/>
      <c r="H291" s="199">
        <f t="shared" si="36"/>
        <v>3</v>
      </c>
      <c r="I291" s="200">
        <f t="shared" si="37"/>
        <v>-836.84999999999991</v>
      </c>
      <c r="J291" s="199">
        <f t="shared" si="38"/>
        <v>3</v>
      </c>
      <c r="K291" s="200">
        <f t="shared" si="39"/>
        <v>-949.17</v>
      </c>
      <c r="L291" s="199">
        <f t="shared" si="40"/>
        <v>3</v>
      </c>
      <c r="M291" s="200">
        <f t="shared" si="41"/>
        <v>-830.25</v>
      </c>
      <c r="O291" s="200"/>
      <c r="Q291" s="200"/>
    </row>
    <row r="292" spans="1:17" hidden="1" x14ac:dyDescent="0.4">
      <c r="A292" s="198">
        <v>44804</v>
      </c>
      <c r="B292" s="177">
        <v>299.27</v>
      </c>
      <c r="C292" s="177">
        <v>334.42</v>
      </c>
      <c r="D292" s="177">
        <v>298.44</v>
      </c>
      <c r="E292" s="177">
        <v>313.64999999999998</v>
      </c>
      <c r="G292" s="200"/>
      <c r="H292" s="199">
        <f t="shared" si="36"/>
        <v>3</v>
      </c>
      <c r="I292" s="200">
        <f t="shared" si="37"/>
        <v>-940.94999999999993</v>
      </c>
      <c r="J292" s="199">
        <f t="shared" si="38"/>
        <v>2</v>
      </c>
      <c r="K292" s="200">
        <f t="shared" si="39"/>
        <v>-668.84</v>
      </c>
      <c r="L292" s="199">
        <f t="shared" si="40"/>
        <v>3</v>
      </c>
      <c r="M292" s="200">
        <f t="shared" si="41"/>
        <v>-895.31999999999994</v>
      </c>
      <c r="O292" s="200"/>
      <c r="Q292" s="200"/>
    </row>
    <row r="293" spans="1:17" hidden="1" x14ac:dyDescent="0.4">
      <c r="A293" s="198">
        <v>44834</v>
      </c>
      <c r="B293" s="177">
        <v>267.26</v>
      </c>
      <c r="C293" s="177">
        <v>311.08</v>
      </c>
      <c r="D293" s="177">
        <v>267.10000000000002</v>
      </c>
      <c r="E293" s="177">
        <v>296.72000000000003</v>
      </c>
      <c r="G293" s="200"/>
      <c r="H293" s="199">
        <f t="shared" si="36"/>
        <v>3</v>
      </c>
      <c r="I293" s="200">
        <f t="shared" si="37"/>
        <v>-890.16000000000008</v>
      </c>
      <c r="J293" s="199">
        <f t="shared" si="38"/>
        <v>3</v>
      </c>
      <c r="K293" s="200">
        <f t="shared" si="39"/>
        <v>-933.24</v>
      </c>
      <c r="L293" s="199">
        <f t="shared" si="40"/>
        <v>3</v>
      </c>
      <c r="M293" s="200">
        <f t="shared" si="41"/>
        <v>-801.30000000000007</v>
      </c>
      <c r="O293" s="200"/>
      <c r="Q293" s="200"/>
    </row>
    <row r="294" spans="1:17" hidden="1" x14ac:dyDescent="0.4">
      <c r="A294" s="198">
        <v>44865</v>
      </c>
      <c r="B294" s="177">
        <v>277.95</v>
      </c>
      <c r="C294" s="177">
        <v>284.60000000000002</v>
      </c>
      <c r="D294" s="177">
        <v>254.26</v>
      </c>
      <c r="E294" s="177">
        <v>269.07</v>
      </c>
      <c r="G294" s="200"/>
      <c r="H294" s="199">
        <f t="shared" si="36"/>
        <v>3</v>
      </c>
      <c r="I294" s="200">
        <f t="shared" si="37"/>
        <v>-807.21</v>
      </c>
      <c r="J294" s="199">
        <f t="shared" si="38"/>
        <v>3</v>
      </c>
      <c r="K294" s="200">
        <f t="shared" si="39"/>
        <v>-853.80000000000007</v>
      </c>
      <c r="L294" s="199">
        <f t="shared" si="40"/>
        <v>3</v>
      </c>
      <c r="M294" s="200">
        <f t="shared" si="41"/>
        <v>-762.78</v>
      </c>
      <c r="O294" s="200"/>
      <c r="Q294" s="200"/>
    </row>
    <row r="295" spans="1:17" hidden="1" x14ac:dyDescent="0.4">
      <c r="A295" s="198">
        <v>44895</v>
      </c>
      <c r="B295" s="177">
        <v>293.36</v>
      </c>
      <c r="C295" s="177">
        <v>293.47000000000003</v>
      </c>
      <c r="D295" s="177">
        <v>259.08</v>
      </c>
      <c r="E295" s="177">
        <v>281.5</v>
      </c>
      <c r="G295" s="200"/>
      <c r="H295" s="199">
        <f t="shared" si="36"/>
        <v>3</v>
      </c>
      <c r="I295" s="200">
        <f t="shared" si="37"/>
        <v>-844.5</v>
      </c>
      <c r="J295" s="199">
        <f t="shared" si="38"/>
        <v>3</v>
      </c>
      <c r="K295" s="200">
        <f t="shared" si="39"/>
        <v>-880.41000000000008</v>
      </c>
      <c r="L295" s="199">
        <f t="shared" si="40"/>
        <v>3</v>
      </c>
      <c r="M295" s="200">
        <f t="shared" si="41"/>
        <v>-777.24</v>
      </c>
      <c r="O295" s="200"/>
      <c r="Q295" s="200"/>
    </row>
    <row r="296" spans="1:17" hidden="1" x14ac:dyDescent="0.4">
      <c r="A296" s="198">
        <v>44926</v>
      </c>
      <c r="B296" s="177">
        <v>266.27999999999997</v>
      </c>
      <c r="C296" s="177">
        <v>296.88</v>
      </c>
      <c r="D296" s="177">
        <v>259.73</v>
      </c>
      <c r="E296" s="177">
        <v>293.69</v>
      </c>
      <c r="G296" s="200"/>
      <c r="H296" s="199">
        <f t="shared" si="36"/>
        <v>3</v>
      </c>
      <c r="I296" s="200">
        <f t="shared" si="37"/>
        <v>-881.06999999999994</v>
      </c>
      <c r="J296" s="199">
        <f t="shared" si="38"/>
        <v>3</v>
      </c>
      <c r="K296" s="200">
        <f t="shared" si="39"/>
        <v>-890.64</v>
      </c>
      <c r="L296" s="199">
        <f t="shared" si="40"/>
        <v>3</v>
      </c>
      <c r="M296" s="200">
        <f t="shared" si="41"/>
        <v>-779.19</v>
      </c>
      <c r="O296" s="200"/>
      <c r="Q296" s="200"/>
    </row>
    <row r="297" spans="1:17" hidden="1" x14ac:dyDescent="0.4">
      <c r="A297" s="198">
        <v>44957</v>
      </c>
      <c r="B297" s="177">
        <v>294.62</v>
      </c>
      <c r="C297" s="177">
        <v>298.26</v>
      </c>
      <c r="D297" s="177">
        <v>260.33999999999997</v>
      </c>
      <c r="E297" s="177">
        <v>268.64999999999998</v>
      </c>
      <c r="G297" s="200"/>
      <c r="H297" s="199">
        <f t="shared" si="36"/>
        <v>3</v>
      </c>
      <c r="I297" s="200">
        <f t="shared" si="37"/>
        <v>-805.94999999999993</v>
      </c>
      <c r="J297" s="199">
        <f t="shared" si="38"/>
        <v>3</v>
      </c>
      <c r="K297" s="200">
        <f t="shared" si="39"/>
        <v>-894.78</v>
      </c>
      <c r="L297" s="199">
        <f t="shared" si="40"/>
        <v>3</v>
      </c>
      <c r="M297" s="200">
        <f t="shared" si="41"/>
        <v>-781.02</v>
      </c>
      <c r="N297" s="199">
        <f>INT(N$1/MAX(C297:C308))</f>
        <v>29</v>
      </c>
      <c r="O297" s="200">
        <f>N297*-MAX(C297:C308)</f>
        <v>-11974.68</v>
      </c>
      <c r="P297" s="199">
        <f>INT(P$1/MIN(D297:D308))</f>
        <v>46</v>
      </c>
      <c r="Q297" s="200">
        <f>P297*-MIN(D297:D308)</f>
        <v>-11975.64</v>
      </c>
    </row>
    <row r="298" spans="1:17" hidden="1" x14ac:dyDescent="0.4">
      <c r="A298" s="198">
        <v>44985</v>
      </c>
      <c r="B298" s="177">
        <v>293.56</v>
      </c>
      <c r="C298" s="177">
        <v>313.68</v>
      </c>
      <c r="D298" s="177">
        <v>290.05</v>
      </c>
      <c r="E298" s="177">
        <v>294.41000000000003</v>
      </c>
      <c r="G298" s="200"/>
      <c r="H298" s="199">
        <f t="shared" si="36"/>
        <v>3</v>
      </c>
      <c r="I298" s="200">
        <f t="shared" si="37"/>
        <v>-883.23</v>
      </c>
      <c r="J298" s="199">
        <f t="shared" si="38"/>
        <v>3</v>
      </c>
      <c r="K298" s="200">
        <f t="shared" si="39"/>
        <v>-941.04</v>
      </c>
      <c r="L298" s="199">
        <f t="shared" si="40"/>
        <v>3</v>
      </c>
      <c r="M298" s="200">
        <f t="shared" si="41"/>
        <v>-870.15000000000009</v>
      </c>
      <c r="O298" s="200"/>
      <c r="Q298" s="200"/>
    </row>
    <row r="299" spans="1:17" hidden="1" x14ac:dyDescent="0.4">
      <c r="A299" s="198">
        <v>45016</v>
      </c>
      <c r="B299" s="177">
        <v>320.93</v>
      </c>
      <c r="C299" s="177">
        <v>321.17</v>
      </c>
      <c r="D299" s="177">
        <v>285.19</v>
      </c>
      <c r="E299" s="177">
        <v>293.26</v>
      </c>
      <c r="G299" s="200"/>
      <c r="H299" s="199">
        <f t="shared" si="36"/>
        <v>3</v>
      </c>
      <c r="I299" s="200">
        <f t="shared" si="37"/>
        <v>-879.78</v>
      </c>
      <c r="J299" s="199">
        <f t="shared" si="38"/>
        <v>3</v>
      </c>
      <c r="K299" s="200">
        <f t="shared" si="39"/>
        <v>-963.51</v>
      </c>
      <c r="L299" s="199">
        <f t="shared" si="40"/>
        <v>3</v>
      </c>
      <c r="M299" s="200">
        <f t="shared" si="41"/>
        <v>-855.56999999999994</v>
      </c>
      <c r="O299" s="200"/>
      <c r="Q299" s="200"/>
    </row>
    <row r="300" spans="1:17" hidden="1" x14ac:dyDescent="0.4">
      <c r="A300" s="198">
        <v>45046</v>
      </c>
      <c r="B300" s="177">
        <v>322.56</v>
      </c>
      <c r="C300" s="177">
        <v>322.64999999999998</v>
      </c>
      <c r="D300" s="177">
        <v>309.89</v>
      </c>
      <c r="E300" s="177">
        <v>318.77</v>
      </c>
      <c r="G300" s="200"/>
      <c r="H300" s="199">
        <f t="shared" si="36"/>
        <v>3</v>
      </c>
      <c r="I300" s="200">
        <f t="shared" si="37"/>
        <v>-956.31</v>
      </c>
      <c r="J300" s="199">
        <f t="shared" si="38"/>
        <v>3</v>
      </c>
      <c r="K300" s="200">
        <f t="shared" si="39"/>
        <v>-967.94999999999993</v>
      </c>
      <c r="L300" s="199">
        <f t="shared" si="40"/>
        <v>3</v>
      </c>
      <c r="M300" s="200">
        <f t="shared" si="41"/>
        <v>-929.67</v>
      </c>
      <c r="O300" s="200"/>
      <c r="Q300" s="200"/>
    </row>
    <row r="301" spans="1:17" hidden="1" x14ac:dyDescent="0.4">
      <c r="A301" s="198">
        <v>45077</v>
      </c>
      <c r="B301" s="177">
        <v>347.99</v>
      </c>
      <c r="C301" s="177">
        <v>353.93</v>
      </c>
      <c r="D301" s="177">
        <v>315.12</v>
      </c>
      <c r="E301" s="177">
        <v>322.08999999999997</v>
      </c>
      <c r="G301" s="200"/>
      <c r="H301" s="199">
        <f t="shared" si="36"/>
        <v>3</v>
      </c>
      <c r="I301" s="200">
        <f t="shared" si="37"/>
        <v>-966.27</v>
      </c>
      <c r="J301" s="199">
        <f t="shared" si="38"/>
        <v>2</v>
      </c>
      <c r="K301" s="200">
        <f t="shared" si="39"/>
        <v>-707.86</v>
      </c>
      <c r="L301" s="199">
        <f t="shared" si="40"/>
        <v>3</v>
      </c>
      <c r="M301" s="200">
        <f t="shared" si="41"/>
        <v>-945.36</v>
      </c>
      <c r="O301" s="200"/>
      <c r="Q301" s="200"/>
    </row>
    <row r="302" spans="1:17" hidden="1" x14ac:dyDescent="0.4">
      <c r="A302" s="198">
        <v>45107</v>
      </c>
      <c r="B302" s="177">
        <v>369.42</v>
      </c>
      <c r="C302" s="177">
        <v>372.85</v>
      </c>
      <c r="D302" s="177">
        <v>346.66</v>
      </c>
      <c r="E302" s="177">
        <v>347.73</v>
      </c>
      <c r="G302" s="200"/>
      <c r="H302" s="199">
        <f t="shared" si="36"/>
        <v>2</v>
      </c>
      <c r="I302" s="200">
        <f t="shared" si="37"/>
        <v>-695.46</v>
      </c>
      <c r="J302" s="199">
        <f t="shared" si="38"/>
        <v>2</v>
      </c>
      <c r="K302" s="200">
        <f t="shared" si="39"/>
        <v>-745.7</v>
      </c>
      <c r="L302" s="199">
        <f t="shared" si="40"/>
        <v>2</v>
      </c>
      <c r="M302" s="200">
        <f t="shared" si="41"/>
        <v>-693.32</v>
      </c>
      <c r="O302" s="200"/>
      <c r="Q302" s="200"/>
    </row>
    <row r="303" spans="1:17" hidden="1" x14ac:dyDescent="0.4">
      <c r="A303" s="198">
        <v>45138</v>
      </c>
      <c r="B303" s="177">
        <v>383.68</v>
      </c>
      <c r="C303" s="177">
        <v>387.98</v>
      </c>
      <c r="D303" s="177">
        <v>363.41</v>
      </c>
      <c r="E303" s="177">
        <v>370.07</v>
      </c>
      <c r="G303" s="200"/>
      <c r="H303" s="199">
        <f t="shared" si="36"/>
        <v>2</v>
      </c>
      <c r="I303" s="200">
        <f t="shared" si="37"/>
        <v>-740.14</v>
      </c>
      <c r="J303" s="199">
        <f t="shared" si="38"/>
        <v>2</v>
      </c>
      <c r="K303" s="200">
        <f t="shared" si="39"/>
        <v>-775.96</v>
      </c>
      <c r="L303" s="199">
        <f t="shared" si="40"/>
        <v>2</v>
      </c>
      <c r="M303" s="200">
        <f t="shared" si="41"/>
        <v>-726.82</v>
      </c>
      <c r="O303" s="200"/>
      <c r="Q303" s="200"/>
    </row>
    <row r="304" spans="1:17" hidden="1" x14ac:dyDescent="0.4">
      <c r="A304" s="198">
        <v>45169</v>
      </c>
      <c r="B304" s="177">
        <v>377.99</v>
      </c>
      <c r="C304" s="177">
        <v>383.56</v>
      </c>
      <c r="D304" s="177">
        <v>354.71</v>
      </c>
      <c r="E304" s="177">
        <v>382.31</v>
      </c>
      <c r="G304" s="200"/>
      <c r="H304" s="199">
        <f t="shared" si="36"/>
        <v>2</v>
      </c>
      <c r="I304" s="200">
        <f t="shared" si="37"/>
        <v>-764.62</v>
      </c>
      <c r="J304" s="199">
        <f t="shared" si="38"/>
        <v>2</v>
      </c>
      <c r="K304" s="200">
        <f t="shared" si="39"/>
        <v>-767.12</v>
      </c>
      <c r="L304" s="199">
        <f t="shared" si="40"/>
        <v>2</v>
      </c>
      <c r="M304" s="200">
        <f t="shared" si="41"/>
        <v>-709.42</v>
      </c>
      <c r="O304" s="200"/>
      <c r="Q304" s="200"/>
    </row>
    <row r="305" spans="1:17" hidden="1" x14ac:dyDescent="0.4">
      <c r="A305" s="198">
        <v>45199</v>
      </c>
      <c r="B305" s="177">
        <v>358.27</v>
      </c>
      <c r="C305" s="177">
        <v>380.83</v>
      </c>
      <c r="D305" s="177">
        <v>351.36</v>
      </c>
      <c r="E305" s="177">
        <v>380.4</v>
      </c>
      <c r="G305" s="200"/>
      <c r="H305" s="199">
        <f t="shared" si="36"/>
        <v>2</v>
      </c>
      <c r="I305" s="200">
        <f t="shared" si="37"/>
        <v>-760.8</v>
      </c>
      <c r="J305" s="199">
        <f t="shared" si="38"/>
        <v>2</v>
      </c>
      <c r="K305" s="200">
        <f t="shared" si="39"/>
        <v>-761.66</v>
      </c>
      <c r="L305" s="199">
        <f t="shared" si="40"/>
        <v>2</v>
      </c>
      <c r="M305" s="200">
        <f t="shared" si="41"/>
        <v>-702.72</v>
      </c>
      <c r="O305" s="200"/>
      <c r="Q305" s="200"/>
    </row>
    <row r="306" spans="1:17" hidden="1" x14ac:dyDescent="0.4">
      <c r="A306" s="198">
        <v>45230</v>
      </c>
      <c r="B306" s="177">
        <v>350.87</v>
      </c>
      <c r="C306" s="177">
        <v>373.74</v>
      </c>
      <c r="D306" s="177">
        <v>342.35</v>
      </c>
      <c r="E306" s="177">
        <v>358.54</v>
      </c>
      <c r="G306" s="200"/>
      <c r="H306" s="199">
        <f t="shared" si="36"/>
        <v>2</v>
      </c>
      <c r="I306" s="200">
        <f t="shared" si="37"/>
        <v>-717.08</v>
      </c>
      <c r="J306" s="199">
        <f t="shared" si="38"/>
        <v>2</v>
      </c>
      <c r="K306" s="200">
        <f t="shared" si="39"/>
        <v>-747.48</v>
      </c>
      <c r="L306" s="199">
        <f t="shared" si="40"/>
        <v>2</v>
      </c>
      <c r="M306" s="200">
        <f t="shared" si="41"/>
        <v>-684.7</v>
      </c>
      <c r="O306" s="200"/>
      <c r="Q306" s="200"/>
    </row>
    <row r="307" spans="1:17" hidden="1" x14ac:dyDescent="0.4">
      <c r="A307" s="198">
        <v>45260</v>
      </c>
      <c r="B307" s="177">
        <v>388.83</v>
      </c>
      <c r="C307" s="177">
        <v>394.14</v>
      </c>
      <c r="D307" s="177">
        <v>351.62</v>
      </c>
      <c r="E307" s="177">
        <v>351.72</v>
      </c>
      <c r="G307" s="200"/>
      <c r="H307" s="199">
        <f t="shared" ref="H307:H314" si="42">INT(H$1/$E307)</f>
        <v>2</v>
      </c>
      <c r="I307" s="200">
        <f t="shared" ref="I307:I314" si="43">-H307*E307</f>
        <v>-703.44</v>
      </c>
      <c r="J307" s="199">
        <f t="shared" si="38"/>
        <v>2</v>
      </c>
      <c r="K307" s="200">
        <f t="shared" ref="K307:K314" si="44">-J307*$C307</f>
        <v>-788.28</v>
      </c>
      <c r="L307" s="199">
        <f t="shared" si="40"/>
        <v>2</v>
      </c>
      <c r="M307" s="200">
        <f t="shared" ref="M307:M314" si="45">-L307*$D307</f>
        <v>-703.24</v>
      </c>
      <c r="O307" s="200"/>
      <c r="Q307" s="200"/>
    </row>
    <row r="308" spans="1:17" hidden="1" x14ac:dyDescent="0.4">
      <c r="A308" s="198">
        <v>45291</v>
      </c>
      <c r="B308" s="177">
        <v>409.52</v>
      </c>
      <c r="C308" s="177">
        <v>412.92</v>
      </c>
      <c r="D308" s="177">
        <v>382.66</v>
      </c>
      <c r="E308" s="177">
        <v>387.75</v>
      </c>
      <c r="G308" s="200"/>
      <c r="H308" s="199">
        <f t="shared" si="42"/>
        <v>2</v>
      </c>
      <c r="I308" s="200">
        <f t="shared" si="43"/>
        <v>-775.5</v>
      </c>
      <c r="J308" s="199">
        <f t="shared" si="38"/>
        <v>2</v>
      </c>
      <c r="K308" s="200">
        <f t="shared" si="44"/>
        <v>-825.84</v>
      </c>
      <c r="L308" s="199">
        <f t="shared" si="40"/>
        <v>2</v>
      </c>
      <c r="M308" s="200">
        <f t="shared" si="45"/>
        <v>-765.32</v>
      </c>
      <c r="O308" s="200"/>
      <c r="Q308" s="200"/>
    </row>
    <row r="309" spans="1:17" s="30" customFormat="1" x14ac:dyDescent="0.4">
      <c r="A309" s="198"/>
      <c r="B309" s="201"/>
      <c r="C309" s="201"/>
      <c r="D309" s="201"/>
      <c r="E309" s="201"/>
      <c r="F309" s="202"/>
      <c r="G309" s="203" t="s">
        <v>130</v>
      </c>
      <c r="H309" s="202"/>
      <c r="I309" s="203" t="s">
        <v>130</v>
      </c>
      <c r="J309" s="202"/>
      <c r="K309" s="203" t="s">
        <v>130</v>
      </c>
      <c r="L309" s="202"/>
      <c r="M309" s="203" t="s">
        <v>130</v>
      </c>
      <c r="N309" s="202"/>
      <c r="O309" s="203" t="s">
        <v>130</v>
      </c>
      <c r="P309" s="202"/>
      <c r="Q309" s="203" t="s">
        <v>130</v>
      </c>
    </row>
    <row r="310" spans="1:17" hidden="1" x14ac:dyDescent="0.4">
      <c r="A310" s="198">
        <v>45322</v>
      </c>
      <c r="B310" s="177">
        <v>416.97</v>
      </c>
      <c r="C310" s="177">
        <v>429.85</v>
      </c>
      <c r="D310" s="177">
        <v>395.34</v>
      </c>
      <c r="E310" s="177">
        <v>405.84</v>
      </c>
      <c r="G310" s="200"/>
      <c r="H310" s="199">
        <f t="shared" si="42"/>
        <v>2</v>
      </c>
      <c r="I310" s="200">
        <f t="shared" si="43"/>
        <v>-811.68</v>
      </c>
      <c r="J310" s="199">
        <f t="shared" si="38"/>
        <v>2</v>
      </c>
      <c r="K310" s="200">
        <f t="shared" si="44"/>
        <v>-859.7</v>
      </c>
      <c r="L310" s="199">
        <f t="shared" si="40"/>
        <v>2</v>
      </c>
      <c r="M310" s="200">
        <f t="shared" si="45"/>
        <v>-790.68</v>
      </c>
      <c r="N310" s="199">
        <f>INT(N$1/MAX(C310:C321))</f>
        <v>22</v>
      </c>
      <c r="O310" s="200">
        <f>N310*-MAX(C310:C321)</f>
        <v>-11587.84</v>
      </c>
      <c r="P310" s="199">
        <f>INT(P$1/MIN(D310:D321))</f>
        <v>30</v>
      </c>
      <c r="Q310" s="200">
        <f>P310*-MIN(D310:D321)</f>
        <v>-11860.199999999999</v>
      </c>
    </row>
    <row r="311" spans="1:17" hidden="1" x14ac:dyDescent="0.4">
      <c r="A311" s="198">
        <v>45351</v>
      </c>
      <c r="B311" s="177">
        <v>439</v>
      </c>
      <c r="C311" s="177">
        <v>440.59</v>
      </c>
      <c r="D311" s="177">
        <v>417.81</v>
      </c>
      <c r="E311" s="177">
        <v>418.79</v>
      </c>
      <c r="G311" s="200"/>
      <c r="H311" s="199">
        <f t="shared" si="42"/>
        <v>2</v>
      </c>
      <c r="I311" s="200">
        <f t="shared" si="43"/>
        <v>-837.58</v>
      </c>
      <c r="J311" s="199">
        <f t="shared" si="38"/>
        <v>2</v>
      </c>
      <c r="K311" s="200">
        <f t="shared" si="44"/>
        <v>-881.18</v>
      </c>
      <c r="L311" s="199">
        <f t="shared" si="40"/>
        <v>2</v>
      </c>
      <c r="M311" s="200">
        <f t="shared" si="45"/>
        <v>-835.62</v>
      </c>
      <c r="O311" s="200"/>
      <c r="Q311" s="200"/>
    </row>
    <row r="312" spans="1:17" hidden="1" x14ac:dyDescent="0.4">
      <c r="A312" s="198">
        <v>45382</v>
      </c>
      <c r="B312" s="177">
        <v>444.01</v>
      </c>
      <c r="C312" s="177">
        <v>449.34</v>
      </c>
      <c r="D312" s="177">
        <v>432.74</v>
      </c>
      <c r="E312" s="177">
        <v>439.9</v>
      </c>
      <c r="G312" s="200"/>
      <c r="H312" s="199">
        <f t="shared" si="42"/>
        <v>2</v>
      </c>
      <c r="I312" s="200">
        <f t="shared" si="43"/>
        <v>-879.8</v>
      </c>
      <c r="J312" s="199">
        <f t="shared" si="38"/>
        <v>2</v>
      </c>
      <c r="K312" s="200">
        <f t="shared" si="44"/>
        <v>-898.68</v>
      </c>
      <c r="L312" s="199">
        <f t="shared" si="40"/>
        <v>2</v>
      </c>
      <c r="M312" s="200">
        <f t="shared" si="45"/>
        <v>-865.48</v>
      </c>
      <c r="O312" s="200"/>
      <c r="Q312" s="200"/>
    </row>
    <row r="313" spans="1:17" hidden="1" x14ac:dyDescent="0.4">
      <c r="A313" s="198">
        <v>45412</v>
      </c>
      <c r="B313" s="177">
        <v>424.59</v>
      </c>
      <c r="C313" s="177">
        <v>447.53</v>
      </c>
      <c r="D313" s="177">
        <v>413.07</v>
      </c>
      <c r="E313" s="177">
        <v>444.97</v>
      </c>
      <c r="G313" s="200"/>
      <c r="H313" s="199">
        <f t="shared" si="42"/>
        <v>2</v>
      </c>
      <c r="I313" s="200">
        <f t="shared" si="43"/>
        <v>-889.94</v>
      </c>
      <c r="J313" s="199">
        <f t="shared" si="38"/>
        <v>2</v>
      </c>
      <c r="K313" s="200">
        <f t="shared" si="44"/>
        <v>-895.06</v>
      </c>
      <c r="L313" s="199">
        <f t="shared" si="40"/>
        <v>2</v>
      </c>
      <c r="M313" s="200">
        <f t="shared" si="45"/>
        <v>-826.14</v>
      </c>
      <c r="O313" s="200"/>
      <c r="Q313" s="200"/>
    </row>
    <row r="314" spans="1:17" hidden="1" x14ac:dyDescent="0.4">
      <c r="A314" s="198">
        <v>45443</v>
      </c>
      <c r="B314" s="177">
        <v>450.71</v>
      </c>
      <c r="C314" s="177">
        <v>460.58</v>
      </c>
      <c r="D314" s="177">
        <v>420.63</v>
      </c>
      <c r="E314" s="177">
        <v>423.15</v>
      </c>
      <c r="G314" s="200"/>
      <c r="H314" s="199">
        <f t="shared" si="42"/>
        <v>2</v>
      </c>
      <c r="I314" s="200">
        <f t="shared" si="43"/>
        <v>-846.3</v>
      </c>
      <c r="J314" s="199">
        <f t="shared" si="38"/>
        <v>2</v>
      </c>
      <c r="K314" s="200">
        <f t="shared" si="44"/>
        <v>-921.16</v>
      </c>
      <c r="L314" s="199">
        <f t="shared" si="40"/>
        <v>2</v>
      </c>
      <c r="M314" s="200">
        <f t="shared" si="45"/>
        <v>-841.26</v>
      </c>
      <c r="O314" s="200"/>
      <c r="Q314" s="200"/>
    </row>
    <row r="315" spans="1:17" hidden="1" x14ac:dyDescent="0.4">
      <c r="A315" s="198">
        <v>45473</v>
      </c>
      <c r="B315" s="177">
        <v>479.11</v>
      </c>
      <c r="C315" s="177">
        <v>487.2</v>
      </c>
      <c r="D315" s="177">
        <v>447.9</v>
      </c>
      <c r="E315" s="177">
        <v>454.57</v>
      </c>
      <c r="G315" s="200"/>
      <c r="H315" s="199">
        <f t="shared" ref="H315:H321" si="46">INT(H$1/$E315)</f>
        <v>2</v>
      </c>
      <c r="I315" s="200">
        <f t="shared" ref="I315:I321" si="47">-H315*E315</f>
        <v>-909.14</v>
      </c>
      <c r="J315" s="199">
        <f t="shared" si="38"/>
        <v>2</v>
      </c>
      <c r="K315" s="200">
        <f t="shared" si="39"/>
        <v>-974.4</v>
      </c>
      <c r="L315" s="199">
        <f t="shared" si="40"/>
        <v>2</v>
      </c>
      <c r="M315" s="200">
        <f t="shared" si="41"/>
        <v>-895.8</v>
      </c>
      <c r="O315" s="200"/>
      <c r="Q315" s="200"/>
    </row>
    <row r="316" spans="1:17" x14ac:dyDescent="0.4">
      <c r="A316" s="198">
        <v>45504</v>
      </c>
      <c r="B316" s="177">
        <v>471.07</v>
      </c>
      <c r="C316" s="177">
        <v>503.52</v>
      </c>
      <c r="D316" s="177">
        <v>454.15</v>
      </c>
      <c r="E316" s="177">
        <v>480.04</v>
      </c>
      <c r="G316" s="200"/>
      <c r="H316" s="199">
        <f t="shared" si="46"/>
        <v>2</v>
      </c>
      <c r="I316" s="200">
        <f t="shared" si="47"/>
        <v>-960.08</v>
      </c>
      <c r="J316" s="199">
        <f t="shared" si="38"/>
        <v>1</v>
      </c>
      <c r="K316" s="200">
        <f t="shared" si="39"/>
        <v>-503.52</v>
      </c>
      <c r="L316" s="199">
        <f t="shared" si="40"/>
        <v>2</v>
      </c>
      <c r="M316" s="200">
        <f t="shared" si="41"/>
        <v>-908.3</v>
      </c>
      <c r="O316" s="200"/>
      <c r="Q316" s="200"/>
    </row>
    <row r="317" spans="1:17" x14ac:dyDescent="0.4">
      <c r="A317" s="198">
        <v>45535</v>
      </c>
      <c r="B317" s="177">
        <v>476.27</v>
      </c>
      <c r="C317" s="177">
        <v>485.54</v>
      </c>
      <c r="D317" s="177">
        <v>423.45</v>
      </c>
      <c r="E317" s="177">
        <v>471.76</v>
      </c>
      <c r="G317" s="200"/>
      <c r="H317" s="199">
        <f t="shared" si="46"/>
        <v>2</v>
      </c>
      <c r="I317" s="200">
        <f t="shared" si="47"/>
        <v>-943.52</v>
      </c>
      <c r="J317" s="199">
        <f t="shared" si="38"/>
        <v>2</v>
      </c>
      <c r="K317" s="200">
        <f t="shared" si="39"/>
        <v>-971.08</v>
      </c>
      <c r="L317" s="199">
        <f t="shared" si="40"/>
        <v>2</v>
      </c>
      <c r="M317" s="200">
        <f t="shared" si="41"/>
        <v>-846.9</v>
      </c>
      <c r="O317" s="200"/>
      <c r="Q317" s="200"/>
    </row>
    <row r="318" spans="1:17" x14ac:dyDescent="0.4">
      <c r="A318" s="198">
        <v>45565</v>
      </c>
      <c r="B318" s="177">
        <v>488.07</v>
      </c>
      <c r="C318" s="177">
        <v>493.7</v>
      </c>
      <c r="D318" s="177">
        <v>448.19</v>
      </c>
      <c r="E318" s="177">
        <v>473.2</v>
      </c>
      <c r="G318" s="200"/>
      <c r="H318" s="199">
        <f t="shared" si="46"/>
        <v>2</v>
      </c>
      <c r="I318" s="200">
        <f t="shared" si="47"/>
        <v>-946.4</v>
      </c>
      <c r="J318" s="199">
        <f t="shared" si="38"/>
        <v>2</v>
      </c>
      <c r="K318" s="200">
        <f t="shared" si="39"/>
        <v>-987.4</v>
      </c>
      <c r="L318" s="199">
        <f t="shared" si="40"/>
        <v>2</v>
      </c>
      <c r="M318" s="200">
        <f t="shared" si="41"/>
        <v>-896.38</v>
      </c>
      <c r="O318" s="200"/>
      <c r="Q318" s="200"/>
    </row>
    <row r="319" spans="1:17" x14ac:dyDescent="0.4">
      <c r="A319" s="198">
        <v>45596</v>
      </c>
      <c r="B319" s="177">
        <v>483.85</v>
      </c>
      <c r="C319" s="177">
        <v>501.35</v>
      </c>
      <c r="D319" s="177">
        <v>477.4</v>
      </c>
      <c r="E319" s="177">
        <v>487.7</v>
      </c>
      <c r="G319" s="200"/>
      <c r="H319" s="199">
        <f t="shared" si="46"/>
        <v>2</v>
      </c>
      <c r="I319" s="200">
        <f t="shared" si="47"/>
        <v>-975.4</v>
      </c>
      <c r="J319" s="199">
        <f t="shared" si="38"/>
        <v>1</v>
      </c>
      <c r="K319" s="200">
        <f t="shared" si="39"/>
        <v>-501.35</v>
      </c>
      <c r="L319" s="199">
        <f t="shared" si="40"/>
        <v>2</v>
      </c>
      <c r="M319" s="200">
        <f t="shared" si="41"/>
        <v>-954.8</v>
      </c>
      <c r="O319" s="200"/>
      <c r="Q319" s="200"/>
    </row>
    <row r="320" spans="1:17" x14ac:dyDescent="0.4">
      <c r="A320" s="198">
        <v>45626</v>
      </c>
      <c r="B320" s="177">
        <v>509.74</v>
      </c>
      <c r="C320" s="177">
        <v>515.58000000000004</v>
      </c>
      <c r="D320" s="177">
        <v>484.25</v>
      </c>
      <c r="E320" s="177">
        <v>485.5</v>
      </c>
      <c r="G320" s="200"/>
      <c r="H320" s="199">
        <f t="shared" si="46"/>
        <v>2</v>
      </c>
      <c r="I320" s="200">
        <f t="shared" si="47"/>
        <v>-971</v>
      </c>
      <c r="J320" s="199">
        <f t="shared" si="38"/>
        <v>1</v>
      </c>
      <c r="K320" s="200">
        <f t="shared" si="39"/>
        <v>-515.58000000000004</v>
      </c>
      <c r="L320" s="199">
        <f t="shared" si="40"/>
        <v>2</v>
      </c>
      <c r="M320" s="200">
        <f t="shared" si="41"/>
        <v>-968.5</v>
      </c>
      <c r="O320" s="200"/>
      <c r="Q320" s="200"/>
    </row>
    <row r="321" spans="1:17" x14ac:dyDescent="0.4">
      <c r="A321" s="198">
        <v>45632</v>
      </c>
      <c r="B321" s="177">
        <v>526.48</v>
      </c>
      <c r="C321" s="177">
        <v>526.72</v>
      </c>
      <c r="D321" s="177">
        <v>510.62</v>
      </c>
      <c r="E321" s="177">
        <v>511.01</v>
      </c>
      <c r="G321" s="200"/>
      <c r="H321" s="199">
        <f t="shared" si="46"/>
        <v>1</v>
      </c>
      <c r="I321" s="200">
        <f t="shared" si="47"/>
        <v>-511.01</v>
      </c>
      <c r="J321" s="199">
        <f>INT(J$1/$C321)</f>
        <v>1</v>
      </c>
      <c r="K321" s="200">
        <f>-J321*$C321</f>
        <v>-526.72</v>
      </c>
      <c r="L321" s="199">
        <f t="shared" si="40"/>
        <v>1</v>
      </c>
      <c r="M321" s="200">
        <f t="shared" si="41"/>
        <v>-510.62</v>
      </c>
      <c r="O321" s="200"/>
      <c r="Q321" s="200"/>
    </row>
    <row r="322" spans="1:17" x14ac:dyDescent="0.4">
      <c r="A322" s="234" t="s">
        <v>10</v>
      </c>
      <c r="B322" s="235"/>
      <c r="C322" s="235"/>
      <c r="D322" s="235"/>
      <c r="E322" s="236"/>
      <c r="F322" s="199">
        <f>F2</f>
        <v>5696</v>
      </c>
      <c r="G322" s="200">
        <f>F5</f>
        <v>2998830.08</v>
      </c>
      <c r="H322" s="199">
        <f>H2</f>
        <v>4669</v>
      </c>
      <c r="I322" s="200">
        <f>H5</f>
        <v>2458135.12</v>
      </c>
      <c r="J322" s="199">
        <f>J2</f>
        <v>4411</v>
      </c>
      <c r="K322" s="200">
        <f>J5</f>
        <v>2322303.2800000003</v>
      </c>
      <c r="L322" s="199">
        <f>L2</f>
        <v>4960</v>
      </c>
      <c r="M322" s="200">
        <f>L5</f>
        <v>2611340.8000000003</v>
      </c>
      <c r="N322" s="199">
        <f>N2</f>
        <v>3939</v>
      </c>
      <c r="O322" s="200">
        <f>N5</f>
        <v>2073804.72</v>
      </c>
      <c r="P322" s="199">
        <f>P2</f>
        <v>6162</v>
      </c>
      <c r="Q322" s="200">
        <f>P5</f>
        <v>3244169.7600000002</v>
      </c>
    </row>
  </sheetData>
  <sheetProtection algorithmName="SHA-512" hashValue="DkVdTxtS/GBOYQC6pY9UZaHwQvmFNGJZerYZIvS/axAhp2QhvPfPcmXLHDGr61FWSYdt7CNDVqXQP/izRNYUkA==" saltValue="VaczfW0eq4/52SsE37De3g==" spinCount="100000" sheet="1" formatCells="0" formatColumns="0" formatRows="0"/>
  <mergeCells count="67">
    <mergeCell ref="N9:O9"/>
    <mergeCell ref="P9:Q9"/>
    <mergeCell ref="J9:K9"/>
    <mergeCell ref="N7:O7"/>
    <mergeCell ref="P7:Q7"/>
    <mergeCell ref="N8:O8"/>
    <mergeCell ref="P8:Q8"/>
    <mergeCell ref="L7:M7"/>
    <mergeCell ref="L8:M8"/>
    <mergeCell ref="L9:M9"/>
    <mergeCell ref="F1:G1"/>
    <mergeCell ref="F2:G2"/>
    <mergeCell ref="F3:G3"/>
    <mergeCell ref="F4:G4"/>
    <mergeCell ref="F5:G5"/>
    <mergeCell ref="N4:O4"/>
    <mergeCell ref="P4:Q4"/>
    <mergeCell ref="N5:O5"/>
    <mergeCell ref="P5:Q5"/>
    <mergeCell ref="N6:O6"/>
    <mergeCell ref="P6:Q6"/>
    <mergeCell ref="P1:Q1"/>
    <mergeCell ref="N2:O2"/>
    <mergeCell ref="P2:Q2"/>
    <mergeCell ref="N3:O3"/>
    <mergeCell ref="P3:Q3"/>
    <mergeCell ref="N1:O1"/>
    <mergeCell ref="J1:K1"/>
    <mergeCell ref="J2:K2"/>
    <mergeCell ref="J3:K3"/>
    <mergeCell ref="J4:K4"/>
    <mergeCell ref="L6:M6"/>
    <mergeCell ref="L1:M1"/>
    <mergeCell ref="L2:M2"/>
    <mergeCell ref="L3:M3"/>
    <mergeCell ref="L4:M4"/>
    <mergeCell ref="L5:M5"/>
    <mergeCell ref="B9:B10"/>
    <mergeCell ref="J7:K7"/>
    <mergeCell ref="J8:K8"/>
    <mergeCell ref="J6:K6"/>
    <mergeCell ref="J5:K5"/>
    <mergeCell ref="F6:G6"/>
    <mergeCell ref="F7:G7"/>
    <mergeCell ref="F8:G8"/>
    <mergeCell ref="F9:G9"/>
    <mergeCell ref="H7:I7"/>
    <mergeCell ref="H8:I8"/>
    <mergeCell ref="E9:E10"/>
    <mergeCell ref="C9:C10"/>
    <mergeCell ref="D9:D10"/>
    <mergeCell ref="A322:E322"/>
    <mergeCell ref="A5:E5"/>
    <mergeCell ref="A8:E8"/>
    <mergeCell ref="A1:E1"/>
    <mergeCell ref="H1:I1"/>
    <mergeCell ref="H9:I9"/>
    <mergeCell ref="H3:I3"/>
    <mergeCell ref="H2:I2"/>
    <mergeCell ref="H4:I4"/>
    <mergeCell ref="H5:I5"/>
    <mergeCell ref="H6:I6"/>
    <mergeCell ref="A3:E3"/>
    <mergeCell ref="A2:E2"/>
    <mergeCell ref="A4:E4"/>
    <mergeCell ref="A6:E6"/>
    <mergeCell ref="A7:E7"/>
  </mergeCells>
  <phoneticPr fontId="2" type="noConversion"/>
  <conditionalFormatting sqref="F8:G8">
    <cfRule type="cellIs" dxfId="16" priority="2" operator="greater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工作表6"/>
  <dimension ref="A1:L322"/>
  <sheetViews>
    <sheetView zoomScale="70" zoomScaleNormal="70" workbookViewId="0">
      <pane xSplit="5" ySplit="10" topLeftCell="F11" activePane="bottomRight" state="frozen"/>
      <selection pane="topRight" activeCell="F1" sqref="F1"/>
      <selection pane="bottomLeft" activeCell="A11" sqref="A11"/>
      <selection pane="bottomRight" activeCell="A10" sqref="A10"/>
    </sheetView>
  </sheetViews>
  <sheetFormatPr defaultRowHeight="17" x14ac:dyDescent="0.4"/>
  <cols>
    <col min="1" max="1" width="8.6328125" style="56" bestFit="1" customWidth="1"/>
    <col min="2" max="5" width="8.54296875" style="14" bestFit="1" customWidth="1"/>
    <col min="6" max="11" width="14.08984375" style="13" bestFit="1" customWidth="1"/>
    <col min="12" max="12" width="14.08984375" style="1" bestFit="1" customWidth="1"/>
    <col min="13" max="16384" width="8.7265625" style="1"/>
  </cols>
  <sheetData>
    <row r="1" spans="1:12" x14ac:dyDescent="0.4">
      <c r="A1" s="263" t="s">
        <v>18</v>
      </c>
      <c r="B1" s="264"/>
      <c r="C1" s="264"/>
      <c r="D1" s="264"/>
      <c r="E1" s="265"/>
      <c r="F1" s="16" t="s">
        <v>19</v>
      </c>
      <c r="G1" s="16" t="s">
        <v>20</v>
      </c>
      <c r="H1" s="16" t="s">
        <v>20</v>
      </c>
      <c r="I1" s="16" t="s">
        <v>20</v>
      </c>
      <c r="J1" s="16" t="s">
        <v>21</v>
      </c>
      <c r="K1" s="16" t="s">
        <v>22</v>
      </c>
    </row>
    <row r="2" spans="1:12" x14ac:dyDescent="0.4">
      <c r="A2" s="263" t="s">
        <v>13</v>
      </c>
      <c r="B2" s="264"/>
      <c r="C2" s="264"/>
      <c r="D2" s="264"/>
      <c r="E2" s="265"/>
      <c r="F2" s="12">
        <f>F1*1</f>
        <v>4800</v>
      </c>
      <c r="G2" s="12">
        <f>COUNT(G11:G320)*G$1</f>
        <v>2480</v>
      </c>
      <c r="H2" s="12">
        <f>COUNT(H11:H320)*H$1</f>
        <v>2480</v>
      </c>
      <c r="I2" s="12">
        <f>COUNT(I11:I320)*I$1</f>
        <v>2480</v>
      </c>
      <c r="J2" s="12">
        <f>COUNT(J11:J320)*12*J$1</f>
        <v>2184</v>
      </c>
      <c r="K2" s="12">
        <f>COUNT(K11:K320)*12*K$1</f>
        <v>3432</v>
      </c>
    </row>
    <row r="3" spans="1:12" x14ac:dyDescent="0.4">
      <c r="A3" s="266" t="s">
        <v>8</v>
      </c>
      <c r="B3" s="267"/>
      <c r="C3" s="267"/>
      <c r="D3" s="267"/>
      <c r="E3" s="268"/>
      <c r="F3" s="12">
        <f>-B11*F2</f>
        <v>-252767.99999999997</v>
      </c>
      <c r="G3" s="12">
        <f>SUM(G11:G320)</f>
        <v>-311496.08</v>
      </c>
      <c r="H3" s="12">
        <f>SUM(H11:H320)</f>
        <v>-326616.6399999999</v>
      </c>
      <c r="I3" s="12">
        <f>SUM(I11:I320)</f>
        <v>-296842.23999999999</v>
      </c>
      <c r="J3" s="12">
        <f>SUM(J11:J320)</f>
        <v>-326435.76</v>
      </c>
      <c r="K3" s="12">
        <f>SUM(K11:K320)</f>
        <v>-346781.16</v>
      </c>
    </row>
    <row r="4" spans="1:12" s="52" customFormat="1" x14ac:dyDescent="0.4">
      <c r="A4" s="266" t="s">
        <v>9</v>
      </c>
      <c r="B4" s="267"/>
      <c r="C4" s="267"/>
      <c r="D4" s="267"/>
      <c r="E4" s="268"/>
      <c r="F4" s="11">
        <f t="shared" ref="F4:K4" si="0">F3/F2</f>
        <v>-52.66</v>
      </c>
      <c r="G4" s="11">
        <f t="shared" si="0"/>
        <v>-125.60325806451614</v>
      </c>
      <c r="H4" s="11">
        <f t="shared" si="0"/>
        <v>-131.70025806451608</v>
      </c>
      <c r="I4" s="11">
        <f t="shared" si="0"/>
        <v>-119.69445161290322</v>
      </c>
      <c r="J4" s="11">
        <f t="shared" si="0"/>
        <v>-149.46692307692308</v>
      </c>
      <c r="K4" s="11">
        <f t="shared" si="0"/>
        <v>-101.04346153846153</v>
      </c>
    </row>
    <row r="5" spans="1:12" x14ac:dyDescent="0.4">
      <c r="A5" s="266" t="s">
        <v>10</v>
      </c>
      <c r="B5" s="267"/>
      <c r="C5" s="267"/>
      <c r="D5" s="267"/>
      <c r="E5" s="268"/>
      <c r="F5" s="12">
        <f t="shared" ref="F5:K5" si="1">$B$320*F2</f>
        <v>2527104</v>
      </c>
      <c r="G5" s="12">
        <f t="shared" si="1"/>
        <v>1305670.4000000001</v>
      </c>
      <c r="H5" s="12">
        <f t="shared" si="1"/>
        <v>1305670.4000000001</v>
      </c>
      <c r="I5" s="12">
        <f t="shared" si="1"/>
        <v>1305670.4000000001</v>
      </c>
      <c r="J5" s="12">
        <f t="shared" si="1"/>
        <v>1149832.32</v>
      </c>
      <c r="K5" s="12">
        <f t="shared" si="1"/>
        <v>1806879.36</v>
      </c>
      <c r="L5" s="59"/>
    </row>
    <row r="6" spans="1:12" x14ac:dyDescent="0.4">
      <c r="A6" s="266" t="s">
        <v>128</v>
      </c>
      <c r="B6" s="267"/>
      <c r="C6" s="267"/>
      <c r="D6" s="267"/>
      <c r="E6" s="268"/>
      <c r="F6" s="12">
        <f t="shared" ref="F6:K6" si="2">F5+F3</f>
        <v>2274336</v>
      </c>
      <c r="G6" s="12">
        <f t="shared" si="2"/>
        <v>994174.32000000007</v>
      </c>
      <c r="H6" s="12">
        <f t="shared" si="2"/>
        <v>979053.76000000024</v>
      </c>
      <c r="I6" s="12">
        <f t="shared" si="2"/>
        <v>1008828.1600000001</v>
      </c>
      <c r="J6" s="12">
        <f t="shared" si="2"/>
        <v>823396.56</v>
      </c>
      <c r="K6" s="12">
        <f t="shared" si="2"/>
        <v>1460098.2000000002</v>
      </c>
    </row>
    <row r="7" spans="1:12" x14ac:dyDescent="0.4">
      <c r="A7" s="263" t="s">
        <v>129</v>
      </c>
      <c r="B7" s="264"/>
      <c r="C7" s="264"/>
      <c r="D7" s="264"/>
      <c r="E7" s="265"/>
      <c r="F7" s="10">
        <f t="shared" ref="F7:K7" si="3">F6/-F3</f>
        <v>8.997721230535511</v>
      </c>
      <c r="G7" s="10">
        <f t="shared" si="3"/>
        <v>3.1916110148159809</v>
      </c>
      <c r="H7" s="10">
        <f t="shared" si="3"/>
        <v>2.9975624022095158</v>
      </c>
      <c r="I7" s="10">
        <f t="shared" si="3"/>
        <v>3.3985330389637274</v>
      </c>
      <c r="J7" s="10">
        <f t="shared" si="3"/>
        <v>2.522384679913745</v>
      </c>
      <c r="K7" s="10">
        <f t="shared" si="3"/>
        <v>4.2104311549104922</v>
      </c>
    </row>
    <row r="8" spans="1:12" s="38" customFormat="1" x14ac:dyDescent="0.4">
      <c r="A8" s="263" t="s">
        <v>114</v>
      </c>
      <c r="B8" s="264"/>
      <c r="C8" s="264"/>
      <c r="D8" s="264"/>
      <c r="E8" s="265"/>
      <c r="F8" s="10">
        <f t="shared" ref="F8:K8" si="4">(1+F7)^(1/$A$10)-1</f>
        <v>9.3294466057782799E-2</v>
      </c>
      <c r="G8" s="10">
        <f t="shared" si="4"/>
        <v>5.70892382741226E-2</v>
      </c>
      <c r="H8" s="10">
        <f t="shared" si="4"/>
        <v>5.5149847251314776E-2</v>
      </c>
      <c r="I8" s="10">
        <f t="shared" si="4"/>
        <v>5.9064424356109146E-2</v>
      </c>
      <c r="J8" s="10">
        <f t="shared" si="4"/>
        <v>4.9989594638455648E-2</v>
      </c>
      <c r="K8" s="10">
        <f t="shared" si="4"/>
        <v>6.6037276993337723E-2</v>
      </c>
    </row>
    <row r="9" spans="1:12" s="2" customFormat="1" x14ac:dyDescent="0.4">
      <c r="A9" s="57" t="s">
        <v>33</v>
      </c>
      <c r="B9" s="262" t="s">
        <v>7</v>
      </c>
      <c r="C9" s="262" t="s">
        <v>2</v>
      </c>
      <c r="D9" s="262" t="s">
        <v>3</v>
      </c>
      <c r="E9" s="262" t="s">
        <v>1</v>
      </c>
      <c r="F9" s="257" t="s">
        <v>125</v>
      </c>
      <c r="G9" s="257" t="s">
        <v>124</v>
      </c>
      <c r="H9" s="257" t="s">
        <v>120</v>
      </c>
      <c r="I9" s="257" t="s">
        <v>121</v>
      </c>
      <c r="J9" s="257" t="s">
        <v>122</v>
      </c>
      <c r="K9" s="257" t="s">
        <v>123</v>
      </c>
    </row>
    <row r="10" spans="1:12" s="2" customFormat="1" x14ac:dyDescent="0.4">
      <c r="A10" s="58">
        <f>_xlfn.DAYS(A320,A11)/365.25</f>
        <v>25.812457221081452</v>
      </c>
      <c r="B10" s="258"/>
      <c r="C10" s="258"/>
      <c r="D10" s="258"/>
      <c r="E10" s="258"/>
      <c r="F10" s="258"/>
      <c r="G10" s="258"/>
      <c r="H10" s="258"/>
      <c r="I10" s="258"/>
      <c r="J10" s="258"/>
      <c r="K10" s="258"/>
    </row>
    <row r="11" spans="1:12" x14ac:dyDescent="0.4">
      <c r="A11" s="56">
        <v>36229</v>
      </c>
      <c r="B11" s="9">
        <v>52.66</v>
      </c>
      <c r="C11" s="9">
        <v>53.96</v>
      </c>
      <c r="D11" s="9">
        <v>48.3</v>
      </c>
      <c r="E11" s="9">
        <v>50.96</v>
      </c>
      <c r="F11" s="15">
        <f>F3</f>
        <v>-252767.99999999997</v>
      </c>
      <c r="G11" s="15">
        <f t="shared" ref="G11:G74" si="5">-E11*G$1</f>
        <v>-407.68</v>
      </c>
      <c r="H11" s="15">
        <f t="shared" ref="H11:H74" si="6">-C11*H$1</f>
        <v>-431.68</v>
      </c>
      <c r="I11" s="15">
        <f t="shared" ref="I11:I74" si="7">-D11*I$1</f>
        <v>-386.4</v>
      </c>
      <c r="J11" s="15">
        <f>-MAX(C11:C20)*12*J$1</f>
        <v>-7872.48</v>
      </c>
      <c r="K11" s="15">
        <f>-MIN(D11:D20)*12*K$1</f>
        <v>-6375.5999999999985</v>
      </c>
    </row>
    <row r="12" spans="1:12" x14ac:dyDescent="0.4">
      <c r="A12" s="56">
        <v>36280</v>
      </c>
      <c r="B12" s="9">
        <v>53.4</v>
      </c>
      <c r="C12" s="9">
        <v>57.04</v>
      </c>
      <c r="D12" s="9">
        <v>48.64</v>
      </c>
      <c r="E12" s="9">
        <v>53.78</v>
      </c>
      <c r="F12" s="15"/>
      <c r="G12" s="15">
        <f t="shared" si="5"/>
        <v>-430.24</v>
      </c>
      <c r="H12" s="15">
        <f t="shared" si="6"/>
        <v>-456.32</v>
      </c>
      <c r="I12" s="15">
        <f t="shared" si="7"/>
        <v>-389.12</v>
      </c>
      <c r="J12" s="15"/>
      <c r="K12" s="15"/>
    </row>
    <row r="13" spans="1:12" x14ac:dyDescent="0.4">
      <c r="A13" s="56">
        <v>36311</v>
      </c>
      <c r="B13" s="9">
        <v>52.03</v>
      </c>
      <c r="C13" s="9">
        <v>56</v>
      </c>
      <c r="D13" s="9">
        <v>48.94</v>
      </c>
      <c r="E13" s="9">
        <v>53.4</v>
      </c>
      <c r="F13" s="15"/>
      <c r="G13" s="15">
        <f t="shared" si="5"/>
        <v>-427.2</v>
      </c>
      <c r="H13" s="15">
        <f t="shared" si="6"/>
        <v>-448</v>
      </c>
      <c r="I13" s="15">
        <f t="shared" si="7"/>
        <v>-391.52</v>
      </c>
      <c r="J13" s="15"/>
      <c r="K13" s="15"/>
    </row>
    <row r="14" spans="1:12" x14ac:dyDescent="0.4">
      <c r="A14" s="56">
        <v>36341</v>
      </c>
      <c r="B14" s="9">
        <v>57.66</v>
      </c>
      <c r="C14" s="9">
        <v>60</v>
      </c>
      <c r="D14" s="9">
        <v>49.57</v>
      </c>
      <c r="E14" s="9">
        <v>51.94</v>
      </c>
      <c r="F14" s="15"/>
      <c r="G14" s="15">
        <f t="shared" si="5"/>
        <v>-415.52</v>
      </c>
      <c r="H14" s="15">
        <f t="shared" si="6"/>
        <v>-480</v>
      </c>
      <c r="I14" s="15">
        <f t="shared" si="7"/>
        <v>-396.56</v>
      </c>
      <c r="J14" s="15"/>
      <c r="K14" s="15"/>
    </row>
    <row r="15" spans="1:12" x14ac:dyDescent="0.4">
      <c r="A15" s="56">
        <v>36372</v>
      </c>
      <c r="B15" s="9">
        <v>56.59</v>
      </c>
      <c r="C15" s="9">
        <v>61.66</v>
      </c>
      <c r="D15" s="9">
        <v>55.78</v>
      </c>
      <c r="E15" s="9">
        <v>57.81</v>
      </c>
      <c r="F15" s="15"/>
      <c r="G15" s="15">
        <f t="shared" si="5"/>
        <v>-462.48</v>
      </c>
      <c r="H15" s="15">
        <f t="shared" si="6"/>
        <v>-493.28</v>
      </c>
      <c r="I15" s="15">
        <f t="shared" si="7"/>
        <v>-446.24</v>
      </c>
      <c r="J15" s="15"/>
      <c r="K15" s="15"/>
    </row>
    <row r="16" spans="1:12" x14ac:dyDescent="0.4">
      <c r="A16" s="56">
        <v>36403</v>
      </c>
      <c r="B16" s="9">
        <v>59.69</v>
      </c>
      <c r="C16" s="9">
        <v>61.72</v>
      </c>
      <c r="D16" s="9">
        <v>52.94</v>
      </c>
      <c r="E16" s="9">
        <v>57.13</v>
      </c>
      <c r="F16" s="15"/>
      <c r="G16" s="15">
        <f t="shared" si="5"/>
        <v>-457.04</v>
      </c>
      <c r="H16" s="15">
        <f t="shared" si="6"/>
        <v>-493.76</v>
      </c>
      <c r="I16" s="15">
        <f t="shared" si="7"/>
        <v>-423.52</v>
      </c>
      <c r="J16" s="15"/>
      <c r="K16" s="15"/>
    </row>
    <row r="17" spans="1:11" x14ac:dyDescent="0.4">
      <c r="A17" s="56">
        <v>36433</v>
      </c>
      <c r="B17" s="9">
        <v>60.19</v>
      </c>
      <c r="C17" s="9">
        <v>63.75</v>
      </c>
      <c r="D17" s="9">
        <v>58.63</v>
      </c>
      <c r="E17" s="9">
        <v>59.69</v>
      </c>
      <c r="F17" s="15"/>
      <c r="G17" s="15">
        <f t="shared" si="5"/>
        <v>-477.52</v>
      </c>
      <c r="H17" s="15">
        <f t="shared" si="6"/>
        <v>-510</v>
      </c>
      <c r="I17" s="15">
        <f t="shared" si="7"/>
        <v>-469.04</v>
      </c>
      <c r="J17" s="15"/>
      <c r="K17" s="15"/>
    </row>
    <row r="18" spans="1:11" x14ac:dyDescent="0.4">
      <c r="A18" s="56">
        <v>36464</v>
      </c>
      <c r="B18" s="9">
        <v>65.75</v>
      </c>
      <c r="C18" s="9">
        <v>66.22</v>
      </c>
      <c r="D18" s="9">
        <v>57.41</v>
      </c>
      <c r="E18" s="9">
        <v>59.38</v>
      </c>
      <c r="F18" s="15"/>
      <c r="G18" s="15">
        <f t="shared" si="5"/>
        <v>-475.04</v>
      </c>
      <c r="H18" s="15">
        <f t="shared" si="6"/>
        <v>-529.76</v>
      </c>
      <c r="I18" s="15">
        <f t="shared" si="7"/>
        <v>-459.28</v>
      </c>
      <c r="J18" s="15"/>
      <c r="K18" s="15"/>
    </row>
    <row r="19" spans="1:11" x14ac:dyDescent="0.4">
      <c r="A19" s="56">
        <v>36494</v>
      </c>
      <c r="B19" s="9">
        <v>73.97</v>
      </c>
      <c r="C19" s="9">
        <v>78.78</v>
      </c>
      <c r="D19" s="9">
        <v>65.2</v>
      </c>
      <c r="E19" s="9">
        <v>65.75</v>
      </c>
      <c r="F19" s="15"/>
      <c r="G19" s="15">
        <f t="shared" si="5"/>
        <v>-526</v>
      </c>
      <c r="H19" s="15">
        <f t="shared" si="6"/>
        <v>-630.24</v>
      </c>
      <c r="I19" s="15">
        <f t="shared" si="7"/>
        <v>-521.6</v>
      </c>
      <c r="J19" s="15"/>
      <c r="K19" s="15"/>
    </row>
    <row r="20" spans="1:11" x14ac:dyDescent="0.4">
      <c r="A20" s="56">
        <v>36525</v>
      </c>
      <c r="B20" s="9">
        <v>91.38</v>
      </c>
      <c r="C20" s="9">
        <v>93.72</v>
      </c>
      <c r="D20" s="9">
        <v>73.81</v>
      </c>
      <c r="E20" s="9">
        <v>75.47</v>
      </c>
      <c r="F20" s="15"/>
      <c r="G20" s="15">
        <f t="shared" si="5"/>
        <v>-603.76</v>
      </c>
      <c r="H20" s="15">
        <f t="shared" si="6"/>
        <v>-749.76</v>
      </c>
      <c r="I20" s="15">
        <f t="shared" si="7"/>
        <v>-590.48</v>
      </c>
      <c r="J20" s="15"/>
      <c r="K20" s="15"/>
    </row>
    <row r="21" spans="1:11" x14ac:dyDescent="0.4">
      <c r="A21" s="56">
        <v>36556</v>
      </c>
      <c r="B21" s="9">
        <v>89.69</v>
      </c>
      <c r="C21" s="9">
        <v>98.75</v>
      </c>
      <c r="D21" s="9">
        <v>81</v>
      </c>
      <c r="E21" s="9">
        <v>96.19</v>
      </c>
      <c r="G21" s="15">
        <f t="shared" si="5"/>
        <v>-769.52</v>
      </c>
      <c r="H21" s="15">
        <f t="shared" si="6"/>
        <v>-790</v>
      </c>
      <c r="I21" s="15">
        <f t="shared" si="7"/>
        <v>-648</v>
      </c>
      <c r="J21" s="15">
        <f>-MAX(C21:C32)*12*J$1</f>
        <v>-10120.32</v>
      </c>
      <c r="K21" s="15">
        <f>-MIN(D21:D32)*12*K$1</f>
        <v>-7178.1600000000008</v>
      </c>
    </row>
    <row r="22" spans="1:11" x14ac:dyDescent="0.4">
      <c r="A22" s="56">
        <v>36585</v>
      </c>
      <c r="B22" s="9">
        <v>106.75</v>
      </c>
      <c r="C22" s="9">
        <v>107.44</v>
      </c>
      <c r="D22" s="9">
        <v>88.5</v>
      </c>
      <c r="E22" s="9">
        <v>89.53</v>
      </c>
      <c r="G22" s="15">
        <f t="shared" si="5"/>
        <v>-716.24</v>
      </c>
      <c r="H22" s="15">
        <f t="shared" si="6"/>
        <v>-859.52</v>
      </c>
      <c r="I22" s="15">
        <f t="shared" si="7"/>
        <v>-708</v>
      </c>
      <c r="J22" s="15"/>
      <c r="K22" s="15"/>
    </row>
    <row r="23" spans="1:11" x14ac:dyDescent="0.4">
      <c r="A23" s="56">
        <v>36616</v>
      </c>
      <c r="B23" s="9">
        <v>109.63</v>
      </c>
      <c r="C23" s="9">
        <v>120.48</v>
      </c>
      <c r="D23" s="9">
        <v>101</v>
      </c>
      <c r="E23" s="9">
        <v>107.25</v>
      </c>
      <c r="G23" s="15">
        <f t="shared" si="5"/>
        <v>-858</v>
      </c>
      <c r="H23" s="15">
        <f t="shared" si="6"/>
        <v>-963.84</v>
      </c>
      <c r="I23" s="15">
        <f t="shared" si="7"/>
        <v>-808</v>
      </c>
      <c r="J23" s="15"/>
      <c r="K23" s="15"/>
    </row>
    <row r="24" spans="1:11" x14ac:dyDescent="0.4">
      <c r="A24" s="56">
        <v>36646</v>
      </c>
      <c r="B24" s="9">
        <v>93.88</v>
      </c>
      <c r="C24" s="9">
        <v>109.13</v>
      </c>
      <c r="D24" s="9">
        <v>78.02</v>
      </c>
      <c r="E24" s="9">
        <v>107.77</v>
      </c>
      <c r="G24" s="15">
        <f t="shared" si="5"/>
        <v>-862.16</v>
      </c>
      <c r="H24" s="15">
        <f t="shared" si="6"/>
        <v>-873.04</v>
      </c>
      <c r="I24" s="15">
        <f t="shared" si="7"/>
        <v>-624.16</v>
      </c>
      <c r="J24" s="15"/>
      <c r="K24" s="15"/>
    </row>
    <row r="25" spans="1:11" x14ac:dyDescent="0.4">
      <c r="A25" s="56">
        <v>36677</v>
      </c>
      <c r="B25" s="9">
        <v>82.75</v>
      </c>
      <c r="C25" s="9">
        <v>96.81</v>
      </c>
      <c r="D25" s="9">
        <v>72.38</v>
      </c>
      <c r="E25" s="9">
        <v>95.69</v>
      </c>
      <c r="G25" s="15">
        <f t="shared" si="5"/>
        <v>-765.52</v>
      </c>
      <c r="H25" s="15">
        <f t="shared" si="6"/>
        <v>-774.48</v>
      </c>
      <c r="I25" s="15">
        <f t="shared" si="7"/>
        <v>-579.04</v>
      </c>
      <c r="J25" s="15"/>
      <c r="K25" s="15"/>
    </row>
    <row r="26" spans="1:11" x14ac:dyDescent="0.4">
      <c r="A26" s="56">
        <v>36707</v>
      </c>
      <c r="B26" s="9">
        <v>93.19</v>
      </c>
      <c r="C26" s="9">
        <v>99.69</v>
      </c>
      <c r="D26" s="9">
        <v>84.56</v>
      </c>
      <c r="E26" s="9">
        <v>85.19</v>
      </c>
      <c r="G26" s="15">
        <f t="shared" si="5"/>
        <v>-681.52</v>
      </c>
      <c r="H26" s="15">
        <f t="shared" si="6"/>
        <v>-797.52</v>
      </c>
      <c r="I26" s="15">
        <f t="shared" si="7"/>
        <v>-676.48</v>
      </c>
      <c r="J26" s="15"/>
      <c r="K26" s="15"/>
    </row>
    <row r="27" spans="1:11" x14ac:dyDescent="0.4">
      <c r="A27" s="56">
        <v>36738</v>
      </c>
      <c r="B27" s="9">
        <v>89.5</v>
      </c>
      <c r="C27" s="9">
        <v>102.05</v>
      </c>
      <c r="D27" s="9">
        <v>85.81</v>
      </c>
      <c r="E27" s="9">
        <v>93.5</v>
      </c>
      <c r="G27" s="15">
        <f t="shared" si="5"/>
        <v>-748</v>
      </c>
      <c r="H27" s="15">
        <f t="shared" si="6"/>
        <v>-816.4</v>
      </c>
      <c r="I27" s="15">
        <f t="shared" si="7"/>
        <v>-686.48</v>
      </c>
      <c r="J27" s="15"/>
      <c r="K27" s="15"/>
    </row>
    <row r="28" spans="1:11" x14ac:dyDescent="0.4">
      <c r="A28" s="56">
        <v>36769</v>
      </c>
      <c r="B28" s="9">
        <v>101.88</v>
      </c>
      <c r="C28" s="9">
        <v>101.88</v>
      </c>
      <c r="D28" s="9">
        <v>83.52</v>
      </c>
      <c r="E28" s="9">
        <v>89.81</v>
      </c>
      <c r="G28" s="15">
        <f t="shared" si="5"/>
        <v>-718.48</v>
      </c>
      <c r="H28" s="15">
        <f t="shared" si="6"/>
        <v>-815.04</v>
      </c>
      <c r="I28" s="15">
        <f t="shared" si="7"/>
        <v>-668.16</v>
      </c>
      <c r="J28" s="15"/>
      <c r="K28" s="15"/>
    </row>
    <row r="29" spans="1:11" x14ac:dyDescent="0.4">
      <c r="A29" s="56">
        <v>36799</v>
      </c>
      <c r="B29" s="9">
        <v>88.69</v>
      </c>
      <c r="C29" s="9">
        <v>103.5</v>
      </c>
      <c r="D29" s="9">
        <v>87.56</v>
      </c>
      <c r="E29" s="9">
        <v>103</v>
      </c>
      <c r="G29" s="15">
        <f t="shared" si="5"/>
        <v>-824</v>
      </c>
      <c r="H29" s="15">
        <f t="shared" si="6"/>
        <v>-828</v>
      </c>
      <c r="I29" s="15">
        <f t="shared" si="7"/>
        <v>-700.48</v>
      </c>
      <c r="J29" s="15"/>
      <c r="K29" s="15"/>
    </row>
    <row r="30" spans="1:11" x14ac:dyDescent="0.4">
      <c r="A30" s="56">
        <v>36830</v>
      </c>
      <c r="B30" s="9">
        <v>81.7</v>
      </c>
      <c r="C30" s="9">
        <v>90.25</v>
      </c>
      <c r="D30" s="9">
        <v>73.63</v>
      </c>
      <c r="E30" s="9">
        <v>90.25</v>
      </c>
      <c r="G30" s="15">
        <f t="shared" si="5"/>
        <v>-722</v>
      </c>
      <c r="H30" s="15">
        <f t="shared" si="6"/>
        <v>-722</v>
      </c>
      <c r="I30" s="15">
        <f t="shared" si="7"/>
        <v>-589.04</v>
      </c>
      <c r="J30" s="15"/>
      <c r="K30" s="15"/>
    </row>
    <row r="31" spans="1:11" x14ac:dyDescent="0.4">
      <c r="A31" s="56">
        <v>36860</v>
      </c>
      <c r="B31" s="9">
        <v>62.98</v>
      </c>
      <c r="C31" s="9">
        <v>84.11</v>
      </c>
      <c r="D31" s="9">
        <v>60.52</v>
      </c>
      <c r="E31" s="9">
        <v>80.31</v>
      </c>
      <c r="G31" s="15">
        <f t="shared" si="5"/>
        <v>-642.48</v>
      </c>
      <c r="H31" s="15">
        <f t="shared" si="6"/>
        <v>-672.88</v>
      </c>
      <c r="I31" s="15">
        <f t="shared" si="7"/>
        <v>-484.16</v>
      </c>
      <c r="J31" s="15"/>
      <c r="K31" s="15"/>
    </row>
    <row r="32" spans="1:11" x14ac:dyDescent="0.4">
      <c r="A32" s="56">
        <v>36891</v>
      </c>
      <c r="B32" s="9">
        <v>58.38</v>
      </c>
      <c r="C32" s="9">
        <v>74.67</v>
      </c>
      <c r="D32" s="9">
        <v>54.38</v>
      </c>
      <c r="E32" s="9">
        <v>64.06</v>
      </c>
      <c r="F32" s="15">
        <f t="shared" ref="F32" si="8">F23</f>
        <v>0</v>
      </c>
      <c r="G32" s="15">
        <f t="shared" si="5"/>
        <v>-512.48</v>
      </c>
      <c r="H32" s="15">
        <f t="shared" si="6"/>
        <v>-597.36</v>
      </c>
      <c r="I32" s="15">
        <f t="shared" si="7"/>
        <v>-435.04</v>
      </c>
      <c r="J32" s="15"/>
      <c r="K32" s="15"/>
    </row>
    <row r="33" spans="1:11" x14ac:dyDescent="0.4">
      <c r="A33" s="56">
        <v>36922</v>
      </c>
      <c r="B33" s="9">
        <v>64.3</v>
      </c>
      <c r="C33" s="9">
        <v>69.09</v>
      </c>
      <c r="D33" s="9">
        <v>52.5</v>
      </c>
      <c r="E33" s="9">
        <v>58.56</v>
      </c>
      <c r="G33" s="15">
        <f t="shared" si="5"/>
        <v>-468.48</v>
      </c>
      <c r="H33" s="15">
        <f t="shared" si="6"/>
        <v>-552.72</v>
      </c>
      <c r="I33" s="15">
        <f t="shared" si="7"/>
        <v>-420</v>
      </c>
      <c r="J33" s="15">
        <f>-MAX(C33:C44)*12*J$1</f>
        <v>-5803.56</v>
      </c>
      <c r="K33" s="15">
        <f>-MIN(D33:D44)*12*K$1</f>
        <v>-3594.3599999999997</v>
      </c>
    </row>
    <row r="34" spans="1:11" x14ac:dyDescent="0.4">
      <c r="A34" s="56">
        <v>36950</v>
      </c>
      <c r="B34" s="9">
        <v>47.35</v>
      </c>
      <c r="C34" s="9">
        <v>65.599999999999994</v>
      </c>
      <c r="D34" s="9">
        <v>46.9</v>
      </c>
      <c r="E34" s="9">
        <v>64.55</v>
      </c>
      <c r="G34" s="15">
        <f t="shared" si="5"/>
        <v>-516.4</v>
      </c>
      <c r="H34" s="15">
        <f t="shared" si="6"/>
        <v>-524.79999999999995</v>
      </c>
      <c r="I34" s="15">
        <f t="shared" si="7"/>
        <v>-375.2</v>
      </c>
      <c r="J34" s="15"/>
      <c r="K34" s="15"/>
    </row>
    <row r="35" spans="1:11" x14ac:dyDescent="0.4">
      <c r="A35" s="56">
        <v>36981</v>
      </c>
      <c r="B35" s="9">
        <v>39.15</v>
      </c>
      <c r="C35" s="9">
        <v>50.65</v>
      </c>
      <c r="D35" s="9">
        <v>38.1</v>
      </c>
      <c r="E35" s="9">
        <v>46.9</v>
      </c>
      <c r="G35" s="15">
        <f t="shared" si="5"/>
        <v>-375.2</v>
      </c>
      <c r="H35" s="15">
        <f t="shared" si="6"/>
        <v>-405.2</v>
      </c>
      <c r="I35" s="15">
        <f t="shared" si="7"/>
        <v>-304.8</v>
      </c>
      <c r="J35" s="15"/>
      <c r="K35" s="15"/>
    </row>
    <row r="36" spans="1:11" x14ac:dyDescent="0.4">
      <c r="A36" s="56">
        <v>37011</v>
      </c>
      <c r="B36" s="9">
        <v>46.15</v>
      </c>
      <c r="C36" s="9">
        <v>49.4</v>
      </c>
      <c r="D36" s="9">
        <v>33.6</v>
      </c>
      <c r="E36" s="9">
        <v>39.15</v>
      </c>
      <c r="G36" s="15">
        <f t="shared" si="5"/>
        <v>-313.2</v>
      </c>
      <c r="H36" s="15">
        <f t="shared" si="6"/>
        <v>-395.2</v>
      </c>
      <c r="I36" s="15">
        <f t="shared" si="7"/>
        <v>-268.8</v>
      </c>
      <c r="J36" s="15"/>
      <c r="K36" s="15"/>
    </row>
    <row r="37" spans="1:11" x14ac:dyDescent="0.4">
      <c r="A37" s="56">
        <v>37042</v>
      </c>
      <c r="B37" s="9">
        <v>44.73</v>
      </c>
      <c r="C37" s="9">
        <v>51.55</v>
      </c>
      <c r="D37" s="9">
        <v>44.06</v>
      </c>
      <c r="E37" s="9">
        <v>46.25</v>
      </c>
      <c r="G37" s="15">
        <f t="shared" si="5"/>
        <v>-370</v>
      </c>
      <c r="H37" s="15">
        <f t="shared" si="6"/>
        <v>-412.4</v>
      </c>
      <c r="I37" s="15">
        <f t="shared" si="7"/>
        <v>-352.48</v>
      </c>
      <c r="J37" s="15"/>
      <c r="K37" s="15"/>
    </row>
    <row r="38" spans="1:11" x14ac:dyDescent="0.4">
      <c r="A38" s="56">
        <v>37072</v>
      </c>
      <c r="B38" s="9">
        <v>45.7</v>
      </c>
      <c r="C38" s="9">
        <v>48.9</v>
      </c>
      <c r="D38" s="9">
        <v>41.26</v>
      </c>
      <c r="E38" s="9">
        <v>45.5</v>
      </c>
      <c r="G38" s="15">
        <f t="shared" si="5"/>
        <v>-364</v>
      </c>
      <c r="H38" s="15">
        <f t="shared" si="6"/>
        <v>-391.2</v>
      </c>
      <c r="I38" s="15">
        <f t="shared" si="7"/>
        <v>-330.08</v>
      </c>
      <c r="J38" s="15"/>
      <c r="K38" s="15"/>
    </row>
    <row r="39" spans="1:11" x14ac:dyDescent="0.4">
      <c r="A39" s="56">
        <v>37103</v>
      </c>
      <c r="B39" s="9">
        <v>41.76</v>
      </c>
      <c r="C39" s="9">
        <v>46.47</v>
      </c>
      <c r="D39" s="9">
        <v>39.31</v>
      </c>
      <c r="E39" s="9">
        <v>45.7</v>
      </c>
      <c r="G39" s="15">
        <f t="shared" si="5"/>
        <v>-365.6</v>
      </c>
      <c r="H39" s="15">
        <f t="shared" si="6"/>
        <v>-371.76</v>
      </c>
      <c r="I39" s="15">
        <f t="shared" si="7"/>
        <v>-314.48</v>
      </c>
      <c r="J39" s="15"/>
      <c r="K39" s="15"/>
    </row>
    <row r="40" spans="1:11" x14ac:dyDescent="0.4">
      <c r="A40" s="56">
        <v>37134</v>
      </c>
      <c r="B40" s="9">
        <v>36.630000000000003</v>
      </c>
      <c r="C40" s="9">
        <v>44</v>
      </c>
      <c r="D40" s="9">
        <v>35.85</v>
      </c>
      <c r="E40" s="9">
        <v>42.7</v>
      </c>
      <c r="G40" s="15">
        <f t="shared" si="5"/>
        <v>-341.6</v>
      </c>
      <c r="H40" s="15">
        <f t="shared" si="6"/>
        <v>-352</v>
      </c>
      <c r="I40" s="15">
        <f t="shared" si="7"/>
        <v>-286.8</v>
      </c>
      <c r="J40" s="15"/>
      <c r="K40" s="15"/>
    </row>
    <row r="41" spans="1:11" x14ac:dyDescent="0.4">
      <c r="A41" s="56">
        <v>37164</v>
      </c>
      <c r="B41" s="9">
        <v>28.98</v>
      </c>
      <c r="C41" s="9">
        <v>37.5</v>
      </c>
      <c r="D41" s="9">
        <v>27.23</v>
      </c>
      <c r="E41" s="9">
        <v>36.450000000000003</v>
      </c>
      <c r="G41" s="15">
        <f t="shared" si="5"/>
        <v>-291.60000000000002</v>
      </c>
      <c r="H41" s="15">
        <f t="shared" si="6"/>
        <v>-300</v>
      </c>
      <c r="I41" s="15">
        <f t="shared" si="7"/>
        <v>-217.84</v>
      </c>
      <c r="J41" s="15"/>
      <c r="K41" s="15"/>
    </row>
    <row r="42" spans="1:11" x14ac:dyDescent="0.4">
      <c r="A42" s="56">
        <v>37195</v>
      </c>
      <c r="B42" s="9">
        <v>33.9</v>
      </c>
      <c r="C42" s="9">
        <v>37.04</v>
      </c>
      <c r="D42" s="9">
        <v>28.16</v>
      </c>
      <c r="E42" s="9">
        <v>28.81</v>
      </c>
      <c r="G42" s="15">
        <f t="shared" si="5"/>
        <v>-230.48</v>
      </c>
      <c r="H42" s="15">
        <f t="shared" si="6"/>
        <v>-296.32</v>
      </c>
      <c r="I42" s="15">
        <f t="shared" si="7"/>
        <v>-225.28</v>
      </c>
      <c r="J42" s="15"/>
      <c r="K42" s="15"/>
    </row>
    <row r="43" spans="1:11" x14ac:dyDescent="0.4">
      <c r="A43" s="56">
        <v>37225</v>
      </c>
      <c r="B43" s="9">
        <v>39.65</v>
      </c>
      <c r="C43" s="9">
        <v>40.96</v>
      </c>
      <c r="D43" s="9">
        <v>33.799999999999997</v>
      </c>
      <c r="E43" s="9">
        <v>34.479999999999997</v>
      </c>
      <c r="G43" s="15">
        <f t="shared" si="5"/>
        <v>-275.83999999999997</v>
      </c>
      <c r="H43" s="15">
        <f t="shared" si="6"/>
        <v>-327.68</v>
      </c>
      <c r="I43" s="15">
        <f t="shared" si="7"/>
        <v>-270.39999999999998</v>
      </c>
      <c r="J43" s="15"/>
      <c r="K43" s="15"/>
    </row>
    <row r="44" spans="1:11" x14ac:dyDescent="0.4">
      <c r="A44" s="56">
        <v>37256</v>
      </c>
      <c r="B44" s="9">
        <v>38.909999999999997</v>
      </c>
      <c r="C44" s="9">
        <v>43.24</v>
      </c>
      <c r="D44" s="9">
        <v>38.68</v>
      </c>
      <c r="E44" s="9">
        <v>39.26</v>
      </c>
      <c r="F44" s="15">
        <f t="shared" ref="F44" si="9">F35</f>
        <v>0</v>
      </c>
      <c r="G44" s="15">
        <f t="shared" si="5"/>
        <v>-314.08</v>
      </c>
      <c r="H44" s="15">
        <f t="shared" si="6"/>
        <v>-345.92</v>
      </c>
      <c r="I44" s="15">
        <f t="shared" si="7"/>
        <v>-309.44</v>
      </c>
      <c r="J44" s="15"/>
      <c r="K44" s="15"/>
    </row>
    <row r="45" spans="1:11" x14ac:dyDescent="0.4">
      <c r="A45" s="56">
        <v>37287</v>
      </c>
      <c r="B45" s="9">
        <v>38.51</v>
      </c>
      <c r="C45" s="9">
        <v>42.59</v>
      </c>
      <c r="D45" s="9">
        <v>36.85</v>
      </c>
      <c r="E45" s="9">
        <v>39.56</v>
      </c>
      <c r="G45" s="15">
        <f t="shared" si="5"/>
        <v>-316.48</v>
      </c>
      <c r="H45" s="15">
        <f t="shared" si="6"/>
        <v>-340.72</v>
      </c>
      <c r="I45" s="15">
        <f t="shared" si="7"/>
        <v>-294.8</v>
      </c>
      <c r="J45" s="15">
        <f>-MAX(C45:C56)*12*J$1</f>
        <v>-3577.5600000000004</v>
      </c>
      <c r="K45" s="15">
        <f>-MIN(D45:D56)*12*K$1</f>
        <v>-2608.3200000000002</v>
      </c>
    </row>
    <row r="46" spans="1:11" x14ac:dyDescent="0.4">
      <c r="A46" s="56">
        <v>37315</v>
      </c>
      <c r="B46" s="9">
        <v>33.78</v>
      </c>
      <c r="C46" s="9">
        <v>38.869999999999997</v>
      </c>
      <c r="D46" s="9">
        <v>33.1</v>
      </c>
      <c r="E46" s="9">
        <v>38.4</v>
      </c>
      <c r="G46" s="15">
        <f t="shared" si="5"/>
        <v>-307.2</v>
      </c>
      <c r="H46" s="15">
        <f t="shared" si="6"/>
        <v>-310.95999999999998</v>
      </c>
      <c r="I46" s="15">
        <f t="shared" si="7"/>
        <v>-264.8</v>
      </c>
      <c r="J46" s="15"/>
      <c r="K46" s="15"/>
    </row>
    <row r="47" spans="1:11" x14ac:dyDescent="0.4">
      <c r="A47" s="56">
        <v>37346</v>
      </c>
      <c r="B47" s="9">
        <v>36.06</v>
      </c>
      <c r="C47" s="9">
        <v>39.18</v>
      </c>
      <c r="D47" s="9">
        <v>34.090000000000003</v>
      </c>
      <c r="E47" s="9">
        <v>34.19</v>
      </c>
      <c r="G47" s="15">
        <f t="shared" si="5"/>
        <v>-273.52</v>
      </c>
      <c r="H47" s="15">
        <f t="shared" si="6"/>
        <v>-313.44</v>
      </c>
      <c r="I47" s="15">
        <f t="shared" si="7"/>
        <v>-272.72000000000003</v>
      </c>
      <c r="J47" s="15"/>
      <c r="K47" s="15"/>
    </row>
    <row r="48" spans="1:11" x14ac:dyDescent="0.4">
      <c r="A48" s="56">
        <v>37376</v>
      </c>
      <c r="B48" s="9">
        <v>31.73</v>
      </c>
      <c r="C48" s="9">
        <v>36.89</v>
      </c>
      <c r="D48" s="9">
        <v>30.57</v>
      </c>
      <c r="E48" s="9">
        <v>35.81</v>
      </c>
      <c r="G48" s="15">
        <f t="shared" si="5"/>
        <v>-286.48</v>
      </c>
      <c r="H48" s="15">
        <f t="shared" si="6"/>
        <v>-295.12</v>
      </c>
      <c r="I48" s="15">
        <f t="shared" si="7"/>
        <v>-244.56</v>
      </c>
      <c r="J48" s="15"/>
      <c r="K48" s="15"/>
    </row>
    <row r="49" spans="1:11" x14ac:dyDescent="0.4">
      <c r="A49" s="56">
        <v>37407</v>
      </c>
      <c r="B49" s="9">
        <v>30.04</v>
      </c>
      <c r="C49" s="9">
        <v>33.630000000000003</v>
      </c>
      <c r="D49" s="9">
        <v>28.44</v>
      </c>
      <c r="E49" s="9">
        <v>31.69</v>
      </c>
      <c r="G49" s="15">
        <f t="shared" si="5"/>
        <v>-253.52</v>
      </c>
      <c r="H49" s="15">
        <f t="shared" si="6"/>
        <v>-269.04000000000002</v>
      </c>
      <c r="I49" s="15">
        <f t="shared" si="7"/>
        <v>-227.52</v>
      </c>
      <c r="J49" s="15"/>
      <c r="K49" s="15"/>
    </row>
    <row r="50" spans="1:11" x14ac:dyDescent="0.4">
      <c r="A50" s="56">
        <v>37437</v>
      </c>
      <c r="B50" s="9">
        <v>26.07</v>
      </c>
      <c r="C50" s="9">
        <v>30.23</v>
      </c>
      <c r="D50" s="9">
        <v>24.4</v>
      </c>
      <c r="E50" s="9">
        <v>29.97</v>
      </c>
      <c r="G50" s="15">
        <f t="shared" si="5"/>
        <v>-239.76</v>
      </c>
      <c r="H50" s="15">
        <f t="shared" si="6"/>
        <v>-241.84</v>
      </c>
      <c r="I50" s="15">
        <f t="shared" si="7"/>
        <v>-195.2</v>
      </c>
      <c r="J50" s="15"/>
      <c r="K50" s="15"/>
    </row>
    <row r="51" spans="1:11" x14ac:dyDescent="0.4">
      <c r="A51" s="56">
        <v>37468</v>
      </c>
      <c r="B51" s="9">
        <v>23.85</v>
      </c>
      <c r="C51" s="9">
        <v>26.51</v>
      </c>
      <c r="D51" s="9">
        <v>21.68</v>
      </c>
      <c r="E51" s="9">
        <v>25.98</v>
      </c>
      <c r="G51" s="15">
        <f t="shared" si="5"/>
        <v>-207.84</v>
      </c>
      <c r="H51" s="15">
        <f t="shared" si="6"/>
        <v>-212.08</v>
      </c>
      <c r="I51" s="15">
        <f t="shared" si="7"/>
        <v>-173.44</v>
      </c>
      <c r="J51" s="15"/>
      <c r="K51" s="15"/>
    </row>
    <row r="52" spans="1:11" x14ac:dyDescent="0.4">
      <c r="A52" s="56">
        <v>37499</v>
      </c>
      <c r="B52" s="9">
        <v>23.49</v>
      </c>
      <c r="C52" s="9">
        <v>26.21</v>
      </c>
      <c r="D52" s="9">
        <v>21.3</v>
      </c>
      <c r="E52" s="9">
        <v>23.78</v>
      </c>
      <c r="G52" s="15">
        <f t="shared" si="5"/>
        <v>-190.24</v>
      </c>
      <c r="H52" s="15">
        <f t="shared" si="6"/>
        <v>-209.68</v>
      </c>
      <c r="I52" s="15">
        <f t="shared" si="7"/>
        <v>-170.4</v>
      </c>
      <c r="J52" s="15"/>
      <c r="K52" s="15"/>
    </row>
    <row r="53" spans="1:11" x14ac:dyDescent="0.4">
      <c r="A53" s="56">
        <v>37529</v>
      </c>
      <c r="B53" s="9">
        <v>20.72</v>
      </c>
      <c r="C53" s="9">
        <v>24.35</v>
      </c>
      <c r="D53" s="9">
        <v>20.49</v>
      </c>
      <c r="E53" s="9">
        <v>23.01</v>
      </c>
      <c r="G53" s="15">
        <f t="shared" si="5"/>
        <v>-184.08</v>
      </c>
      <c r="H53" s="15">
        <f t="shared" si="6"/>
        <v>-194.8</v>
      </c>
      <c r="I53" s="15">
        <f t="shared" si="7"/>
        <v>-163.92</v>
      </c>
      <c r="J53" s="15"/>
      <c r="K53" s="15"/>
    </row>
    <row r="54" spans="1:11" x14ac:dyDescent="0.4">
      <c r="A54" s="56">
        <v>37560</v>
      </c>
      <c r="B54" s="9">
        <v>24.55</v>
      </c>
      <c r="C54" s="9">
        <v>25.04</v>
      </c>
      <c r="D54" s="9">
        <v>19.760000000000002</v>
      </c>
      <c r="E54" s="9">
        <v>20.95</v>
      </c>
      <c r="G54" s="15">
        <f t="shared" si="5"/>
        <v>-167.6</v>
      </c>
      <c r="H54" s="15">
        <f t="shared" si="6"/>
        <v>-200.32</v>
      </c>
      <c r="I54" s="15">
        <f t="shared" si="7"/>
        <v>-158.08000000000001</v>
      </c>
      <c r="J54" s="15"/>
      <c r="K54" s="15"/>
    </row>
    <row r="55" spans="1:11" x14ac:dyDescent="0.4">
      <c r="A55" s="56">
        <v>37590</v>
      </c>
      <c r="B55" s="9">
        <v>27.72</v>
      </c>
      <c r="C55" s="9">
        <v>29.7</v>
      </c>
      <c r="D55" s="9">
        <v>24.14</v>
      </c>
      <c r="E55" s="9">
        <v>24.41</v>
      </c>
      <c r="G55" s="15">
        <f t="shared" si="5"/>
        <v>-195.28</v>
      </c>
      <c r="H55" s="15">
        <f t="shared" si="6"/>
        <v>-237.6</v>
      </c>
      <c r="I55" s="15">
        <f t="shared" si="7"/>
        <v>-193.12</v>
      </c>
      <c r="J55" s="15"/>
      <c r="K55" s="15"/>
    </row>
    <row r="56" spans="1:11" x14ac:dyDescent="0.4">
      <c r="A56" s="56">
        <v>37621</v>
      </c>
      <c r="B56" s="9">
        <v>24.37</v>
      </c>
      <c r="C56" s="9">
        <v>28.79</v>
      </c>
      <c r="D56" s="9">
        <v>24.28</v>
      </c>
      <c r="E56" s="9">
        <v>28.49</v>
      </c>
      <c r="F56" s="15">
        <f t="shared" ref="F56" si="10">F47</f>
        <v>0</v>
      </c>
      <c r="G56" s="15">
        <f t="shared" si="5"/>
        <v>-227.92</v>
      </c>
      <c r="H56" s="15">
        <f t="shared" si="6"/>
        <v>-230.32</v>
      </c>
      <c r="I56" s="15">
        <f t="shared" si="7"/>
        <v>-194.24</v>
      </c>
      <c r="J56" s="15"/>
      <c r="K56" s="15"/>
    </row>
    <row r="57" spans="1:11" x14ac:dyDescent="0.4">
      <c r="A57" s="56">
        <v>37652</v>
      </c>
      <c r="B57" s="9">
        <v>24.44</v>
      </c>
      <c r="C57" s="9">
        <v>27.47</v>
      </c>
      <c r="D57" s="9">
        <v>24.01</v>
      </c>
      <c r="E57" s="9">
        <v>24.75</v>
      </c>
      <c r="G57" s="15">
        <f t="shared" si="5"/>
        <v>-198</v>
      </c>
      <c r="H57" s="15">
        <f t="shared" si="6"/>
        <v>-219.76</v>
      </c>
      <c r="I57" s="15">
        <f t="shared" si="7"/>
        <v>-192.08</v>
      </c>
      <c r="J57" s="15">
        <f>-MAX(C57:C68)*12*J$1</f>
        <v>-3077.76</v>
      </c>
      <c r="K57" s="15">
        <f>-MIN(D57:D68)*12*K$1</f>
        <v>-3078.2400000000002</v>
      </c>
    </row>
    <row r="58" spans="1:11" x14ac:dyDescent="0.4">
      <c r="A58" s="56">
        <v>37680</v>
      </c>
      <c r="B58" s="9">
        <v>25.16</v>
      </c>
      <c r="C58" s="9">
        <v>25.37</v>
      </c>
      <c r="D58" s="9">
        <v>23.32</v>
      </c>
      <c r="E58" s="9">
        <v>24.55</v>
      </c>
      <c r="G58" s="15">
        <f t="shared" si="5"/>
        <v>-196.4</v>
      </c>
      <c r="H58" s="15">
        <f t="shared" si="6"/>
        <v>-202.96</v>
      </c>
      <c r="I58" s="15">
        <f t="shared" si="7"/>
        <v>-186.56</v>
      </c>
      <c r="J58" s="15"/>
      <c r="K58" s="15"/>
    </row>
    <row r="59" spans="1:11" x14ac:dyDescent="0.4">
      <c r="A59" s="56">
        <v>37711</v>
      </c>
      <c r="B59" s="9">
        <v>26.08</v>
      </c>
      <c r="C59" s="9">
        <v>27.76</v>
      </c>
      <c r="D59" s="9">
        <v>23.54</v>
      </c>
      <c r="E59" s="9">
        <v>25.28</v>
      </c>
      <c r="G59" s="15">
        <f t="shared" si="5"/>
        <v>-202.24</v>
      </c>
      <c r="H59" s="15">
        <f t="shared" si="6"/>
        <v>-222.08</v>
      </c>
      <c r="I59" s="15">
        <f t="shared" si="7"/>
        <v>-188.32</v>
      </c>
      <c r="J59" s="15"/>
      <c r="K59" s="15"/>
    </row>
    <row r="60" spans="1:11" x14ac:dyDescent="0.4">
      <c r="A60" s="56">
        <v>37741</v>
      </c>
      <c r="B60" s="9">
        <v>27.45</v>
      </c>
      <c r="C60" s="9">
        <v>28.06</v>
      </c>
      <c r="D60" s="9">
        <v>25.16</v>
      </c>
      <c r="E60" s="9">
        <v>25.47</v>
      </c>
      <c r="G60" s="15">
        <f t="shared" si="5"/>
        <v>-203.76</v>
      </c>
      <c r="H60" s="15">
        <f t="shared" si="6"/>
        <v>-224.48</v>
      </c>
      <c r="I60" s="15">
        <f t="shared" si="7"/>
        <v>-201.28</v>
      </c>
      <c r="J60" s="15"/>
      <c r="K60" s="15"/>
    </row>
    <row r="61" spans="1:11" x14ac:dyDescent="0.4">
      <c r="A61" s="56">
        <v>37772</v>
      </c>
      <c r="B61" s="9">
        <v>29.79</v>
      </c>
      <c r="C61" s="9">
        <v>29.87</v>
      </c>
      <c r="D61" s="9">
        <v>27.19</v>
      </c>
      <c r="E61" s="9">
        <v>27.44</v>
      </c>
      <c r="G61" s="15">
        <f t="shared" si="5"/>
        <v>-219.52</v>
      </c>
      <c r="H61" s="15">
        <f t="shared" si="6"/>
        <v>-238.96</v>
      </c>
      <c r="I61" s="15">
        <f t="shared" si="7"/>
        <v>-217.52</v>
      </c>
      <c r="J61" s="15"/>
      <c r="K61" s="15"/>
    </row>
    <row r="62" spans="1:11" x14ac:dyDescent="0.4">
      <c r="A62" s="56">
        <v>37802</v>
      </c>
      <c r="B62" s="9">
        <v>29.95</v>
      </c>
      <c r="C62" s="9">
        <v>31.47</v>
      </c>
      <c r="D62" s="9">
        <v>28.66</v>
      </c>
      <c r="E62" s="9">
        <v>30.08</v>
      </c>
      <c r="G62" s="15">
        <f t="shared" si="5"/>
        <v>-240.64</v>
      </c>
      <c r="H62" s="15">
        <f t="shared" si="6"/>
        <v>-251.76</v>
      </c>
      <c r="I62" s="15">
        <f t="shared" si="7"/>
        <v>-229.28</v>
      </c>
      <c r="J62" s="15"/>
      <c r="K62" s="15"/>
    </row>
    <row r="63" spans="1:11" x14ac:dyDescent="0.4">
      <c r="A63" s="56">
        <v>37833</v>
      </c>
      <c r="B63" s="9">
        <v>31.8</v>
      </c>
      <c r="C63" s="9">
        <v>32.75</v>
      </c>
      <c r="D63" s="9">
        <v>29.26</v>
      </c>
      <c r="E63" s="9">
        <v>29.7</v>
      </c>
      <c r="G63" s="15">
        <f t="shared" si="5"/>
        <v>-237.6</v>
      </c>
      <c r="H63" s="15">
        <f t="shared" si="6"/>
        <v>-262</v>
      </c>
      <c r="I63" s="15">
        <f t="shared" si="7"/>
        <v>-234.08</v>
      </c>
      <c r="J63" s="15"/>
      <c r="K63" s="15"/>
    </row>
    <row r="64" spans="1:11" x14ac:dyDescent="0.4">
      <c r="A64" s="56">
        <v>37864</v>
      </c>
      <c r="B64" s="9">
        <v>33.39</v>
      </c>
      <c r="C64" s="9">
        <v>33.46</v>
      </c>
      <c r="D64" s="9">
        <v>29.93</v>
      </c>
      <c r="E64" s="9">
        <v>31.68</v>
      </c>
      <c r="G64" s="15">
        <f t="shared" si="5"/>
        <v>-253.44</v>
      </c>
      <c r="H64" s="15">
        <f t="shared" si="6"/>
        <v>-267.68</v>
      </c>
      <c r="I64" s="15">
        <f t="shared" si="7"/>
        <v>-239.44</v>
      </c>
      <c r="J64" s="15"/>
      <c r="K64" s="15"/>
    </row>
    <row r="65" spans="1:11" x14ac:dyDescent="0.4">
      <c r="A65" s="56">
        <v>37894</v>
      </c>
      <c r="B65" s="9">
        <v>32.42</v>
      </c>
      <c r="C65" s="9">
        <v>34.86</v>
      </c>
      <c r="D65" s="9">
        <v>32.36</v>
      </c>
      <c r="E65" s="9">
        <v>33.53</v>
      </c>
      <c r="G65" s="15">
        <f t="shared" si="5"/>
        <v>-268.24</v>
      </c>
      <c r="H65" s="15">
        <f t="shared" si="6"/>
        <v>-278.88</v>
      </c>
      <c r="I65" s="15">
        <f t="shared" si="7"/>
        <v>-258.88</v>
      </c>
      <c r="J65" s="15"/>
      <c r="K65" s="15"/>
    </row>
    <row r="66" spans="1:11" x14ac:dyDescent="0.4">
      <c r="A66" s="56">
        <v>37925</v>
      </c>
      <c r="B66" s="9">
        <v>35.18</v>
      </c>
      <c r="C66" s="9">
        <v>36</v>
      </c>
      <c r="D66" s="9">
        <v>32.42</v>
      </c>
      <c r="E66" s="9">
        <v>32.61</v>
      </c>
      <c r="G66" s="15">
        <f t="shared" si="5"/>
        <v>-260.88</v>
      </c>
      <c r="H66" s="15">
        <f t="shared" si="6"/>
        <v>-288</v>
      </c>
      <c r="I66" s="15">
        <f t="shared" si="7"/>
        <v>-259.36</v>
      </c>
      <c r="J66" s="15"/>
      <c r="K66" s="15"/>
    </row>
    <row r="67" spans="1:11" x14ac:dyDescent="0.4">
      <c r="A67" s="56">
        <v>37955</v>
      </c>
      <c r="B67" s="9">
        <v>35.380000000000003</v>
      </c>
      <c r="C67" s="9">
        <v>36.18</v>
      </c>
      <c r="D67" s="9">
        <v>33.729999999999997</v>
      </c>
      <c r="E67" s="9">
        <v>35.46</v>
      </c>
      <c r="G67" s="15">
        <f t="shared" si="5"/>
        <v>-283.68</v>
      </c>
      <c r="H67" s="15">
        <f t="shared" si="6"/>
        <v>-289.44</v>
      </c>
      <c r="I67" s="15">
        <f t="shared" si="7"/>
        <v>-269.83999999999997</v>
      </c>
      <c r="J67" s="15"/>
      <c r="K67" s="15"/>
    </row>
    <row r="68" spans="1:11" x14ac:dyDescent="0.4">
      <c r="A68" s="56">
        <v>37986</v>
      </c>
      <c r="B68" s="9">
        <v>36.46</v>
      </c>
      <c r="C68" s="9">
        <v>36.64</v>
      </c>
      <c r="D68" s="9">
        <v>34.130000000000003</v>
      </c>
      <c r="E68" s="9">
        <v>35.69</v>
      </c>
      <c r="F68" s="15">
        <f t="shared" ref="F68" si="11">F59</f>
        <v>0</v>
      </c>
      <c r="G68" s="15">
        <f t="shared" si="5"/>
        <v>-285.52</v>
      </c>
      <c r="H68" s="15">
        <f t="shared" si="6"/>
        <v>-293.12</v>
      </c>
      <c r="I68" s="15">
        <f t="shared" si="7"/>
        <v>-273.04000000000002</v>
      </c>
      <c r="J68" s="15"/>
      <c r="K68" s="15"/>
    </row>
    <row r="69" spans="1:11" x14ac:dyDescent="0.4">
      <c r="A69" s="56">
        <v>38017</v>
      </c>
      <c r="B69" s="9">
        <v>37.07</v>
      </c>
      <c r="C69" s="9">
        <v>39</v>
      </c>
      <c r="D69" s="9">
        <v>36.22</v>
      </c>
      <c r="E69" s="9">
        <v>36.659999999999997</v>
      </c>
      <c r="G69" s="15">
        <f t="shared" si="5"/>
        <v>-293.27999999999997</v>
      </c>
      <c r="H69" s="15">
        <f t="shared" si="6"/>
        <v>-312</v>
      </c>
      <c r="I69" s="15">
        <f t="shared" si="7"/>
        <v>-289.76</v>
      </c>
      <c r="J69" s="15">
        <f>-MAX(C69:C80)*12*J$1</f>
        <v>-3417.12</v>
      </c>
      <c r="K69" s="15">
        <f>-MIN(D69:D80)*12*K$1</f>
        <v>-4224</v>
      </c>
    </row>
    <row r="70" spans="1:11" x14ac:dyDescent="0.4">
      <c r="A70" s="56">
        <v>38046</v>
      </c>
      <c r="B70" s="9">
        <v>36.57</v>
      </c>
      <c r="C70" s="9">
        <v>37.97</v>
      </c>
      <c r="D70" s="9">
        <v>35.9</v>
      </c>
      <c r="E70" s="9">
        <v>37.200000000000003</v>
      </c>
      <c r="G70" s="15">
        <f t="shared" si="5"/>
        <v>-297.60000000000002</v>
      </c>
      <c r="H70" s="15">
        <f t="shared" si="6"/>
        <v>-303.76</v>
      </c>
      <c r="I70" s="15">
        <f t="shared" si="7"/>
        <v>-287.2</v>
      </c>
      <c r="J70" s="15"/>
      <c r="K70" s="15"/>
    </row>
    <row r="71" spans="1:11" x14ac:dyDescent="0.4">
      <c r="A71" s="56">
        <v>38077</v>
      </c>
      <c r="B71" s="9">
        <v>35.840000000000003</v>
      </c>
      <c r="C71" s="9">
        <v>37.18</v>
      </c>
      <c r="D71" s="9">
        <v>34.01</v>
      </c>
      <c r="E71" s="9">
        <v>36.68</v>
      </c>
      <c r="G71" s="15">
        <f t="shared" si="5"/>
        <v>-293.44</v>
      </c>
      <c r="H71" s="15">
        <f t="shared" si="6"/>
        <v>-297.44</v>
      </c>
      <c r="I71" s="15">
        <f t="shared" si="7"/>
        <v>-272.08</v>
      </c>
      <c r="J71" s="15"/>
      <c r="K71" s="15"/>
    </row>
    <row r="72" spans="1:11" x14ac:dyDescent="0.4">
      <c r="A72" s="56">
        <v>38107</v>
      </c>
      <c r="B72" s="9">
        <v>34.770000000000003</v>
      </c>
      <c r="C72" s="9">
        <v>37.5</v>
      </c>
      <c r="D72" s="9">
        <v>34.72</v>
      </c>
      <c r="E72" s="9">
        <v>35.81</v>
      </c>
      <c r="G72" s="15">
        <f t="shared" si="5"/>
        <v>-286.48</v>
      </c>
      <c r="H72" s="15">
        <f t="shared" si="6"/>
        <v>-300</v>
      </c>
      <c r="I72" s="15">
        <f t="shared" si="7"/>
        <v>-277.76</v>
      </c>
      <c r="J72" s="15"/>
      <c r="K72" s="15"/>
    </row>
    <row r="73" spans="1:11" x14ac:dyDescent="0.4">
      <c r="A73" s="56">
        <v>38138</v>
      </c>
      <c r="B73" s="9">
        <v>36.549999999999997</v>
      </c>
      <c r="C73" s="9">
        <v>36.549999999999997</v>
      </c>
      <c r="D73" s="9">
        <v>34.11</v>
      </c>
      <c r="E73" s="9">
        <v>35</v>
      </c>
      <c r="G73" s="15">
        <f t="shared" si="5"/>
        <v>-280</v>
      </c>
      <c r="H73" s="15">
        <f t="shared" si="6"/>
        <v>-292.39999999999998</v>
      </c>
      <c r="I73" s="15">
        <f t="shared" si="7"/>
        <v>-272.88</v>
      </c>
      <c r="J73" s="15"/>
      <c r="K73" s="15"/>
    </row>
    <row r="74" spans="1:11" x14ac:dyDescent="0.4">
      <c r="A74" s="56">
        <v>38168</v>
      </c>
      <c r="B74" s="9">
        <v>37.74</v>
      </c>
      <c r="C74" s="9">
        <v>37.9</v>
      </c>
      <c r="D74" s="9">
        <v>35.82</v>
      </c>
      <c r="E74" s="9">
        <v>36.270000000000003</v>
      </c>
      <c r="G74" s="15">
        <f t="shared" si="5"/>
        <v>-290.16000000000003</v>
      </c>
      <c r="H74" s="15">
        <f t="shared" si="6"/>
        <v>-303.2</v>
      </c>
      <c r="I74" s="15">
        <f t="shared" si="7"/>
        <v>-286.56</v>
      </c>
      <c r="J74" s="15"/>
      <c r="K74" s="15"/>
    </row>
    <row r="75" spans="1:11" x14ac:dyDescent="0.4">
      <c r="A75" s="56">
        <v>38199</v>
      </c>
      <c r="B75" s="9">
        <v>34.89</v>
      </c>
      <c r="C75" s="9">
        <v>37.659999999999997</v>
      </c>
      <c r="D75" s="9">
        <v>33.700000000000003</v>
      </c>
      <c r="E75" s="9">
        <v>37.659999999999997</v>
      </c>
      <c r="G75" s="15">
        <f t="shared" ref="G75:G138" si="12">-E75*G$1</f>
        <v>-301.27999999999997</v>
      </c>
      <c r="H75" s="15">
        <f t="shared" ref="H75:H138" si="13">-C75*H$1</f>
        <v>-301.27999999999997</v>
      </c>
      <c r="I75" s="15">
        <f t="shared" ref="I75:I138" si="14">-D75*I$1</f>
        <v>-269.60000000000002</v>
      </c>
      <c r="J75" s="15"/>
      <c r="K75" s="15"/>
    </row>
    <row r="76" spans="1:11" x14ac:dyDescent="0.4">
      <c r="A76" s="56">
        <v>38230</v>
      </c>
      <c r="B76" s="9">
        <v>34.020000000000003</v>
      </c>
      <c r="C76" s="9">
        <v>35.020000000000003</v>
      </c>
      <c r="D76" s="9">
        <v>32</v>
      </c>
      <c r="E76" s="9">
        <v>34.61</v>
      </c>
      <c r="G76" s="15">
        <f t="shared" si="12"/>
        <v>-276.88</v>
      </c>
      <c r="H76" s="15">
        <f t="shared" si="13"/>
        <v>-280.16000000000003</v>
      </c>
      <c r="I76" s="15">
        <f t="shared" si="14"/>
        <v>-256</v>
      </c>
      <c r="J76" s="15"/>
      <c r="K76" s="15"/>
    </row>
    <row r="77" spans="1:11" x14ac:dyDescent="0.4">
      <c r="A77" s="56">
        <v>38260</v>
      </c>
      <c r="B77" s="9">
        <v>35.14</v>
      </c>
      <c r="C77" s="9">
        <v>35.85</v>
      </c>
      <c r="D77" s="9">
        <v>33.799999999999997</v>
      </c>
      <c r="E77" s="9">
        <v>33.93</v>
      </c>
      <c r="G77" s="15">
        <f t="shared" si="12"/>
        <v>-271.44</v>
      </c>
      <c r="H77" s="15">
        <f t="shared" si="13"/>
        <v>-286.8</v>
      </c>
      <c r="I77" s="15">
        <f t="shared" si="14"/>
        <v>-270.39999999999998</v>
      </c>
      <c r="J77" s="15"/>
      <c r="K77" s="15"/>
    </row>
    <row r="78" spans="1:11" x14ac:dyDescent="0.4">
      <c r="A78" s="56">
        <v>38291</v>
      </c>
      <c r="B78" s="9">
        <v>36.9</v>
      </c>
      <c r="C78" s="9">
        <v>37.24</v>
      </c>
      <c r="D78" s="9">
        <v>35.200000000000003</v>
      </c>
      <c r="E78" s="9">
        <v>35.450000000000003</v>
      </c>
      <c r="G78" s="15">
        <f t="shared" si="12"/>
        <v>-283.60000000000002</v>
      </c>
      <c r="H78" s="15">
        <f t="shared" si="13"/>
        <v>-297.92</v>
      </c>
      <c r="I78" s="15">
        <f t="shared" si="14"/>
        <v>-281.60000000000002</v>
      </c>
      <c r="J78" s="15"/>
      <c r="K78" s="15"/>
    </row>
    <row r="79" spans="1:11" x14ac:dyDescent="0.4">
      <c r="A79" s="56">
        <v>38321</v>
      </c>
      <c r="B79" s="9">
        <v>39.119999999999997</v>
      </c>
      <c r="C79" s="9">
        <v>39.64</v>
      </c>
      <c r="D79" s="9">
        <v>36.799999999999997</v>
      </c>
      <c r="E79" s="9">
        <v>36.979999999999997</v>
      </c>
      <c r="G79" s="15">
        <f t="shared" si="12"/>
        <v>-295.83999999999997</v>
      </c>
      <c r="H79" s="15">
        <f t="shared" si="13"/>
        <v>-317.12</v>
      </c>
      <c r="I79" s="15">
        <f t="shared" si="14"/>
        <v>-294.39999999999998</v>
      </c>
      <c r="J79" s="15"/>
      <c r="K79" s="15"/>
    </row>
    <row r="80" spans="1:11" x14ac:dyDescent="0.4">
      <c r="A80" s="56">
        <v>38352</v>
      </c>
      <c r="B80" s="9">
        <v>39.92</v>
      </c>
      <c r="C80" s="9">
        <v>40.68</v>
      </c>
      <c r="D80" s="9">
        <v>37.21</v>
      </c>
      <c r="E80" s="9">
        <v>39.270000000000003</v>
      </c>
      <c r="F80" s="15"/>
      <c r="G80" s="15">
        <f t="shared" si="12"/>
        <v>-314.16000000000003</v>
      </c>
      <c r="H80" s="15">
        <f t="shared" si="13"/>
        <v>-325.44</v>
      </c>
      <c r="I80" s="15">
        <f t="shared" si="14"/>
        <v>-297.68</v>
      </c>
      <c r="J80" s="15"/>
      <c r="K80" s="15"/>
    </row>
    <row r="81" spans="1:11" x14ac:dyDescent="0.4">
      <c r="A81" s="56">
        <v>38383</v>
      </c>
      <c r="B81" s="9">
        <v>37.4</v>
      </c>
      <c r="C81" s="9">
        <v>40.29</v>
      </c>
      <c r="D81" s="9">
        <v>36.46</v>
      </c>
      <c r="E81" s="9">
        <v>40.08</v>
      </c>
      <c r="G81" s="15">
        <f t="shared" si="12"/>
        <v>-320.64</v>
      </c>
      <c r="H81" s="15">
        <f t="shared" si="13"/>
        <v>-322.32</v>
      </c>
      <c r="I81" s="15">
        <f t="shared" si="14"/>
        <v>-291.68</v>
      </c>
      <c r="J81" s="15">
        <f>-MAX(C81:C92)*12*J$1</f>
        <v>-3554.04</v>
      </c>
      <c r="K81" s="15">
        <f>-MIN(D81:D92)*12*K$1</f>
        <v>-4534.2000000000007</v>
      </c>
    </row>
    <row r="82" spans="1:11" x14ac:dyDescent="0.4">
      <c r="A82" s="56">
        <v>38411</v>
      </c>
      <c r="B82" s="9">
        <v>37.22</v>
      </c>
      <c r="C82" s="9">
        <v>38.479999999999997</v>
      </c>
      <c r="D82" s="9">
        <v>36.700000000000003</v>
      </c>
      <c r="E82" s="9">
        <v>37.47</v>
      </c>
      <c r="G82" s="15">
        <f t="shared" si="12"/>
        <v>-299.76</v>
      </c>
      <c r="H82" s="15">
        <f t="shared" si="13"/>
        <v>-307.83999999999997</v>
      </c>
      <c r="I82" s="15">
        <f t="shared" si="14"/>
        <v>-293.60000000000002</v>
      </c>
      <c r="J82" s="15"/>
      <c r="K82" s="15"/>
    </row>
    <row r="83" spans="1:11" x14ac:dyDescent="0.4">
      <c r="A83" s="56">
        <v>38442</v>
      </c>
      <c r="B83" s="9">
        <v>36.57</v>
      </c>
      <c r="C83" s="9">
        <v>38.29</v>
      </c>
      <c r="D83" s="9">
        <v>35.94</v>
      </c>
      <c r="E83" s="9">
        <v>37.369999999999997</v>
      </c>
      <c r="G83" s="15">
        <f t="shared" si="12"/>
        <v>-298.95999999999998</v>
      </c>
      <c r="H83" s="15">
        <f t="shared" si="13"/>
        <v>-306.32</v>
      </c>
      <c r="I83" s="15">
        <f t="shared" si="14"/>
        <v>-287.52</v>
      </c>
      <c r="J83" s="15"/>
      <c r="K83" s="15"/>
    </row>
    <row r="84" spans="1:11" x14ac:dyDescent="0.4">
      <c r="A84" s="56">
        <v>38472</v>
      </c>
      <c r="B84" s="9">
        <v>34.979999999999997</v>
      </c>
      <c r="C84" s="9">
        <v>37.07</v>
      </c>
      <c r="D84" s="9">
        <v>34.35</v>
      </c>
      <c r="E84" s="9">
        <v>36.75</v>
      </c>
      <c r="G84" s="15">
        <f t="shared" si="12"/>
        <v>-294</v>
      </c>
      <c r="H84" s="15">
        <f t="shared" si="13"/>
        <v>-296.56</v>
      </c>
      <c r="I84" s="15">
        <f t="shared" si="14"/>
        <v>-274.8</v>
      </c>
      <c r="J84" s="15"/>
      <c r="K84" s="15"/>
    </row>
    <row r="85" spans="1:11" x14ac:dyDescent="0.4">
      <c r="A85" s="56">
        <v>38503</v>
      </c>
      <c r="B85" s="9">
        <v>38.08</v>
      </c>
      <c r="C85" s="9">
        <v>38.270000000000003</v>
      </c>
      <c r="D85" s="9">
        <v>34.89</v>
      </c>
      <c r="E85" s="9">
        <v>35.07</v>
      </c>
      <c r="G85" s="15">
        <f t="shared" si="12"/>
        <v>-280.56</v>
      </c>
      <c r="H85" s="15">
        <f t="shared" si="13"/>
        <v>-306.16000000000003</v>
      </c>
      <c r="I85" s="15">
        <f t="shared" si="14"/>
        <v>-279.12</v>
      </c>
      <c r="J85" s="15"/>
      <c r="K85" s="15"/>
    </row>
    <row r="86" spans="1:11" x14ac:dyDescent="0.4">
      <c r="A86" s="56">
        <v>38533</v>
      </c>
      <c r="B86" s="9">
        <v>36.979999999999997</v>
      </c>
      <c r="C86" s="9">
        <v>38.68</v>
      </c>
      <c r="D86" s="9">
        <v>36.700000000000003</v>
      </c>
      <c r="E86" s="9">
        <v>38.03</v>
      </c>
      <c r="G86" s="15">
        <f t="shared" si="12"/>
        <v>-304.24</v>
      </c>
      <c r="H86" s="15">
        <f t="shared" si="13"/>
        <v>-309.44</v>
      </c>
      <c r="I86" s="15">
        <f t="shared" si="14"/>
        <v>-293.60000000000002</v>
      </c>
      <c r="J86" s="15"/>
      <c r="K86" s="15"/>
    </row>
    <row r="87" spans="1:11" x14ac:dyDescent="0.4">
      <c r="A87" s="56">
        <v>38564</v>
      </c>
      <c r="B87" s="9">
        <v>39.58</v>
      </c>
      <c r="C87" s="9">
        <v>39.92</v>
      </c>
      <c r="D87" s="9">
        <v>36.1</v>
      </c>
      <c r="E87" s="9">
        <v>36.86</v>
      </c>
      <c r="G87" s="15">
        <f t="shared" si="12"/>
        <v>-294.88</v>
      </c>
      <c r="H87" s="15">
        <f t="shared" si="13"/>
        <v>-319.36</v>
      </c>
      <c r="I87" s="15">
        <f t="shared" si="14"/>
        <v>-288.8</v>
      </c>
      <c r="J87" s="15"/>
      <c r="K87" s="15"/>
    </row>
    <row r="88" spans="1:11" x14ac:dyDescent="0.4">
      <c r="A88" s="56">
        <v>38595</v>
      </c>
      <c r="B88" s="9">
        <v>38.979999999999997</v>
      </c>
      <c r="C88" s="9">
        <v>40.14</v>
      </c>
      <c r="D88" s="9">
        <v>38.270000000000003</v>
      </c>
      <c r="E88" s="9">
        <v>39.68</v>
      </c>
      <c r="G88" s="15">
        <f t="shared" si="12"/>
        <v>-317.44</v>
      </c>
      <c r="H88" s="15">
        <f t="shared" si="13"/>
        <v>-321.12</v>
      </c>
      <c r="I88" s="15">
        <f t="shared" si="14"/>
        <v>-306.16000000000003</v>
      </c>
      <c r="J88" s="15"/>
      <c r="K88" s="15"/>
    </row>
    <row r="89" spans="1:11" x14ac:dyDescent="0.4">
      <c r="A89" s="56">
        <v>38625</v>
      </c>
      <c r="B89" s="9">
        <v>39.46</v>
      </c>
      <c r="C89" s="9">
        <v>39.909999999999997</v>
      </c>
      <c r="D89" s="9">
        <v>38.409999999999997</v>
      </c>
      <c r="E89" s="9">
        <v>38.99</v>
      </c>
      <c r="G89" s="15">
        <f t="shared" si="12"/>
        <v>-311.92</v>
      </c>
      <c r="H89" s="15">
        <f t="shared" si="13"/>
        <v>-319.27999999999997</v>
      </c>
      <c r="I89" s="15">
        <f t="shared" si="14"/>
        <v>-307.27999999999997</v>
      </c>
      <c r="J89" s="15"/>
      <c r="K89" s="15"/>
    </row>
    <row r="90" spans="1:11" x14ac:dyDescent="0.4">
      <c r="A90" s="56">
        <v>38656</v>
      </c>
      <c r="B90" s="9">
        <v>38.869999999999997</v>
      </c>
      <c r="C90" s="9">
        <v>39.880000000000003</v>
      </c>
      <c r="D90" s="9">
        <v>37.33</v>
      </c>
      <c r="E90" s="9">
        <v>39.549999999999997</v>
      </c>
      <c r="G90" s="15">
        <f t="shared" si="12"/>
        <v>-316.39999999999998</v>
      </c>
      <c r="H90" s="15">
        <f t="shared" si="13"/>
        <v>-319.04000000000002</v>
      </c>
      <c r="I90" s="15">
        <f t="shared" si="14"/>
        <v>-298.64</v>
      </c>
      <c r="J90" s="15"/>
      <c r="K90" s="15"/>
    </row>
    <row r="91" spans="1:11" x14ac:dyDescent="0.4">
      <c r="A91" s="56">
        <v>38686</v>
      </c>
      <c r="B91" s="9">
        <v>41.24</v>
      </c>
      <c r="C91" s="9">
        <v>42.02</v>
      </c>
      <c r="D91" s="9">
        <v>38.71</v>
      </c>
      <c r="E91" s="9">
        <v>38.76</v>
      </c>
      <c r="G91" s="15">
        <f t="shared" si="12"/>
        <v>-310.08</v>
      </c>
      <c r="H91" s="15">
        <f t="shared" si="13"/>
        <v>-336.16</v>
      </c>
      <c r="I91" s="15">
        <f t="shared" si="14"/>
        <v>-309.68</v>
      </c>
      <c r="J91" s="15"/>
      <c r="K91" s="15"/>
    </row>
    <row r="92" spans="1:11" x14ac:dyDescent="0.4">
      <c r="A92" s="56">
        <v>38717</v>
      </c>
      <c r="B92" s="9">
        <v>40.409999999999997</v>
      </c>
      <c r="C92" s="9">
        <v>42.31</v>
      </c>
      <c r="D92" s="9">
        <v>40.36</v>
      </c>
      <c r="E92" s="9">
        <v>41.51</v>
      </c>
      <c r="F92" s="15"/>
      <c r="G92" s="15">
        <f t="shared" si="12"/>
        <v>-332.08</v>
      </c>
      <c r="H92" s="15">
        <f t="shared" si="13"/>
        <v>-338.48</v>
      </c>
      <c r="I92" s="15">
        <f t="shared" si="14"/>
        <v>-322.88</v>
      </c>
      <c r="J92" s="15"/>
      <c r="K92" s="15"/>
    </row>
    <row r="93" spans="1:11" x14ac:dyDescent="0.4">
      <c r="A93" s="56">
        <v>38748</v>
      </c>
      <c r="B93" s="9">
        <v>41.68</v>
      </c>
      <c r="C93" s="9">
        <v>43.31</v>
      </c>
      <c r="D93" s="9">
        <v>40.159999999999997</v>
      </c>
      <c r="E93" s="9">
        <v>40.64</v>
      </c>
      <c r="G93" s="15">
        <f t="shared" si="12"/>
        <v>-325.12</v>
      </c>
      <c r="H93" s="15">
        <f t="shared" si="13"/>
        <v>-346.48</v>
      </c>
      <c r="I93" s="15">
        <f t="shared" si="14"/>
        <v>-321.27999999999997</v>
      </c>
      <c r="J93" s="15">
        <f>-MAX(C93:C104)*12*J$1</f>
        <v>-3759.84</v>
      </c>
      <c r="K93" s="15">
        <f>-MIN(D93:D104)*12*K$1</f>
        <v>-4691.2800000000007</v>
      </c>
    </row>
    <row r="94" spans="1:11" x14ac:dyDescent="0.4">
      <c r="A94" s="56">
        <v>38776</v>
      </c>
      <c r="B94" s="9">
        <v>41.1</v>
      </c>
      <c r="C94" s="9">
        <v>42.12</v>
      </c>
      <c r="D94" s="9">
        <v>40.26</v>
      </c>
      <c r="E94" s="9">
        <v>42.12</v>
      </c>
      <c r="G94" s="15">
        <f t="shared" si="12"/>
        <v>-336.96</v>
      </c>
      <c r="H94" s="15">
        <f t="shared" si="13"/>
        <v>-336.96</v>
      </c>
      <c r="I94" s="15">
        <f t="shared" si="14"/>
        <v>-322.08</v>
      </c>
      <c r="J94" s="15"/>
      <c r="K94" s="15"/>
    </row>
    <row r="95" spans="1:11" x14ac:dyDescent="0.4">
      <c r="A95" s="56">
        <v>38807</v>
      </c>
      <c r="B95" s="9">
        <v>41.93</v>
      </c>
      <c r="C95" s="9">
        <v>42.3</v>
      </c>
      <c r="D95" s="9">
        <v>40.19</v>
      </c>
      <c r="E95" s="9">
        <v>41.22</v>
      </c>
      <c r="G95" s="15">
        <f t="shared" si="12"/>
        <v>-329.76</v>
      </c>
      <c r="H95" s="15">
        <f t="shared" si="13"/>
        <v>-338.4</v>
      </c>
      <c r="I95" s="15">
        <f t="shared" si="14"/>
        <v>-321.52</v>
      </c>
      <c r="J95" s="15"/>
      <c r="K95" s="15"/>
    </row>
    <row r="96" spans="1:11" x14ac:dyDescent="0.4">
      <c r="A96" s="56">
        <v>38837</v>
      </c>
      <c r="B96" s="9">
        <v>41.85</v>
      </c>
      <c r="C96" s="9">
        <v>43.05</v>
      </c>
      <c r="D96" s="9">
        <v>41.39</v>
      </c>
      <c r="E96" s="9">
        <v>42.15</v>
      </c>
      <c r="G96" s="15">
        <f t="shared" si="12"/>
        <v>-337.2</v>
      </c>
      <c r="H96" s="15">
        <f t="shared" si="13"/>
        <v>-344.4</v>
      </c>
      <c r="I96" s="15">
        <f t="shared" si="14"/>
        <v>-331.12</v>
      </c>
      <c r="J96" s="15"/>
      <c r="K96" s="15"/>
    </row>
    <row r="97" spans="1:11" x14ac:dyDescent="0.4">
      <c r="A97" s="56">
        <v>38868</v>
      </c>
      <c r="B97" s="9">
        <v>38.82</v>
      </c>
      <c r="C97" s="9">
        <v>42.3</v>
      </c>
      <c r="D97" s="9">
        <v>38.229999999999997</v>
      </c>
      <c r="E97" s="9">
        <v>41.93</v>
      </c>
      <c r="G97" s="15">
        <f t="shared" si="12"/>
        <v>-335.44</v>
      </c>
      <c r="H97" s="15">
        <f t="shared" si="13"/>
        <v>-338.4</v>
      </c>
      <c r="I97" s="15">
        <f t="shared" si="14"/>
        <v>-305.83999999999997</v>
      </c>
      <c r="J97" s="15"/>
      <c r="K97" s="15"/>
    </row>
    <row r="98" spans="1:11" x14ac:dyDescent="0.4">
      <c r="A98" s="56">
        <v>38898</v>
      </c>
      <c r="B98" s="9">
        <v>38.770000000000003</v>
      </c>
      <c r="C98" s="9">
        <v>40</v>
      </c>
      <c r="D98" s="9">
        <v>37.159999999999997</v>
      </c>
      <c r="E98" s="9">
        <v>38.909999999999997</v>
      </c>
      <c r="G98" s="15">
        <f t="shared" si="12"/>
        <v>-311.27999999999997</v>
      </c>
      <c r="H98" s="15">
        <f t="shared" si="13"/>
        <v>-320</v>
      </c>
      <c r="I98" s="15">
        <f t="shared" si="14"/>
        <v>-297.27999999999997</v>
      </c>
      <c r="J98" s="15"/>
      <c r="K98" s="15"/>
    </row>
    <row r="99" spans="1:11" x14ac:dyDescent="0.4">
      <c r="A99" s="56">
        <v>38929</v>
      </c>
      <c r="B99" s="9">
        <v>37.1</v>
      </c>
      <c r="C99" s="9">
        <v>38.68</v>
      </c>
      <c r="D99" s="9">
        <v>35.54</v>
      </c>
      <c r="E99" s="9">
        <v>38.64</v>
      </c>
      <c r="G99" s="15">
        <f t="shared" si="12"/>
        <v>-309.12</v>
      </c>
      <c r="H99" s="15">
        <f t="shared" si="13"/>
        <v>-309.44</v>
      </c>
      <c r="I99" s="15">
        <f t="shared" si="14"/>
        <v>-284.32</v>
      </c>
      <c r="J99" s="15"/>
      <c r="K99" s="15"/>
    </row>
    <row r="100" spans="1:11" x14ac:dyDescent="0.4">
      <c r="A100" s="56">
        <v>38960</v>
      </c>
      <c r="B100" s="9">
        <v>38.869999999999997</v>
      </c>
      <c r="C100" s="9">
        <v>39.03</v>
      </c>
      <c r="D100" s="9">
        <v>36.26</v>
      </c>
      <c r="E100" s="9">
        <v>36.79</v>
      </c>
      <c r="G100" s="15">
        <f t="shared" si="12"/>
        <v>-294.32</v>
      </c>
      <c r="H100" s="15">
        <f t="shared" si="13"/>
        <v>-312.24</v>
      </c>
      <c r="I100" s="15">
        <f t="shared" si="14"/>
        <v>-290.08</v>
      </c>
      <c r="J100" s="15"/>
      <c r="K100" s="15"/>
    </row>
    <row r="101" spans="1:11" x14ac:dyDescent="0.4">
      <c r="A101" s="56">
        <v>38990</v>
      </c>
      <c r="B101" s="9">
        <v>40.65</v>
      </c>
      <c r="C101" s="9">
        <v>40.950000000000003</v>
      </c>
      <c r="D101" s="9">
        <v>38.32</v>
      </c>
      <c r="E101" s="9">
        <v>39.07</v>
      </c>
      <c r="G101" s="15">
        <f t="shared" si="12"/>
        <v>-312.56</v>
      </c>
      <c r="H101" s="15">
        <f t="shared" si="13"/>
        <v>-327.60000000000002</v>
      </c>
      <c r="I101" s="15">
        <f t="shared" si="14"/>
        <v>-306.56</v>
      </c>
      <c r="J101" s="15"/>
      <c r="K101" s="15"/>
    </row>
    <row r="102" spans="1:11" x14ac:dyDescent="0.4">
      <c r="A102" s="56">
        <v>39021</v>
      </c>
      <c r="B102" s="9">
        <v>42.58</v>
      </c>
      <c r="C102" s="9">
        <v>42.92</v>
      </c>
      <c r="D102" s="9">
        <v>39.880000000000003</v>
      </c>
      <c r="E102" s="9">
        <v>40.6</v>
      </c>
      <c r="G102" s="15">
        <f t="shared" si="12"/>
        <v>-324.8</v>
      </c>
      <c r="H102" s="15">
        <f t="shared" si="13"/>
        <v>-343.36</v>
      </c>
      <c r="I102" s="15">
        <f t="shared" si="14"/>
        <v>-319.04000000000002</v>
      </c>
      <c r="J102" s="15"/>
      <c r="K102" s="15"/>
    </row>
    <row r="103" spans="1:11" x14ac:dyDescent="0.4">
      <c r="A103" s="56">
        <v>39051</v>
      </c>
      <c r="B103" s="9">
        <v>44.04</v>
      </c>
      <c r="C103" s="9">
        <v>44.75</v>
      </c>
      <c r="D103" s="9">
        <v>41.61</v>
      </c>
      <c r="E103" s="9">
        <v>42.73</v>
      </c>
      <c r="G103" s="15">
        <f t="shared" si="12"/>
        <v>-341.84</v>
      </c>
      <c r="H103" s="15">
        <f t="shared" si="13"/>
        <v>-358</v>
      </c>
      <c r="I103" s="15">
        <f t="shared" si="14"/>
        <v>-332.88</v>
      </c>
      <c r="J103" s="15"/>
      <c r="K103" s="15"/>
    </row>
    <row r="104" spans="1:11" x14ac:dyDescent="0.4">
      <c r="A104" s="56">
        <v>39082</v>
      </c>
      <c r="B104" s="9">
        <v>43.16</v>
      </c>
      <c r="C104" s="9">
        <v>44.76</v>
      </c>
      <c r="D104" s="9">
        <v>42.88</v>
      </c>
      <c r="E104" s="9">
        <v>44</v>
      </c>
      <c r="F104" s="15"/>
      <c r="G104" s="15">
        <f t="shared" si="12"/>
        <v>-352</v>
      </c>
      <c r="H104" s="15">
        <f t="shared" si="13"/>
        <v>-358.08</v>
      </c>
      <c r="I104" s="15">
        <f t="shared" si="14"/>
        <v>-343.04</v>
      </c>
      <c r="J104" s="15"/>
      <c r="K104" s="15"/>
    </row>
    <row r="105" spans="1:11" x14ac:dyDescent="0.4">
      <c r="A105" s="56">
        <v>39113</v>
      </c>
      <c r="B105" s="9">
        <v>44.07</v>
      </c>
      <c r="C105" s="9">
        <v>45.4</v>
      </c>
      <c r="D105" s="9">
        <v>42.52</v>
      </c>
      <c r="E105" s="9">
        <v>43.46</v>
      </c>
      <c r="G105" s="15">
        <f t="shared" si="12"/>
        <v>-347.68</v>
      </c>
      <c r="H105" s="15">
        <f t="shared" si="13"/>
        <v>-363.2</v>
      </c>
      <c r="I105" s="15">
        <f t="shared" si="14"/>
        <v>-340.16</v>
      </c>
      <c r="J105" s="15">
        <f>-MAX(C105:C116)*12*J$1</f>
        <v>-4625.88</v>
      </c>
      <c r="K105" s="15">
        <f>-MIN(D105:D116)*12*K$1</f>
        <v>-5352.5999999999995</v>
      </c>
    </row>
    <row r="106" spans="1:11" x14ac:dyDescent="0.4">
      <c r="A106" s="56">
        <v>39141</v>
      </c>
      <c r="B106" s="9">
        <v>43.33</v>
      </c>
      <c r="C106" s="9">
        <v>45.55</v>
      </c>
      <c r="D106" s="9">
        <v>42.93</v>
      </c>
      <c r="E106" s="9">
        <v>44.28</v>
      </c>
      <c r="G106" s="15">
        <f t="shared" si="12"/>
        <v>-354.24</v>
      </c>
      <c r="H106" s="15">
        <f t="shared" si="13"/>
        <v>-364.4</v>
      </c>
      <c r="I106" s="15">
        <f t="shared" si="14"/>
        <v>-343.44</v>
      </c>
      <c r="J106" s="15"/>
      <c r="K106" s="15"/>
    </row>
    <row r="107" spans="1:11" x14ac:dyDescent="0.4">
      <c r="A107" s="56">
        <v>39172</v>
      </c>
      <c r="B107" s="9">
        <v>43.53</v>
      </c>
      <c r="C107" s="9">
        <v>44.45</v>
      </c>
      <c r="D107" s="9">
        <v>41.97</v>
      </c>
      <c r="E107" s="9">
        <v>43.02</v>
      </c>
      <c r="G107" s="15">
        <f t="shared" si="12"/>
        <v>-344.16</v>
      </c>
      <c r="H107" s="15">
        <f t="shared" si="13"/>
        <v>-355.6</v>
      </c>
      <c r="I107" s="15">
        <f t="shared" si="14"/>
        <v>-335.76</v>
      </c>
      <c r="J107" s="15"/>
      <c r="K107" s="15"/>
    </row>
    <row r="108" spans="1:11" x14ac:dyDescent="0.4">
      <c r="A108" s="56">
        <v>39202</v>
      </c>
      <c r="B108" s="9">
        <v>45.96</v>
      </c>
      <c r="C108" s="9">
        <v>46.7</v>
      </c>
      <c r="D108" s="9">
        <v>43.3</v>
      </c>
      <c r="E108" s="9">
        <v>43.71</v>
      </c>
      <c r="G108" s="15">
        <f t="shared" si="12"/>
        <v>-349.68</v>
      </c>
      <c r="H108" s="15">
        <f t="shared" si="13"/>
        <v>-373.6</v>
      </c>
      <c r="I108" s="15">
        <f t="shared" si="14"/>
        <v>-346.4</v>
      </c>
      <c r="J108" s="15"/>
      <c r="K108" s="15"/>
    </row>
    <row r="109" spans="1:11" x14ac:dyDescent="0.4">
      <c r="A109" s="56">
        <v>39233</v>
      </c>
      <c r="B109" s="9">
        <v>47.41</v>
      </c>
      <c r="C109" s="9">
        <v>47.52</v>
      </c>
      <c r="D109" s="9">
        <v>45.66</v>
      </c>
      <c r="E109" s="9">
        <v>46.03</v>
      </c>
      <c r="G109" s="15">
        <f t="shared" si="12"/>
        <v>-368.24</v>
      </c>
      <c r="H109" s="15">
        <f t="shared" si="13"/>
        <v>-380.16</v>
      </c>
      <c r="I109" s="15">
        <f t="shared" si="14"/>
        <v>-365.28</v>
      </c>
      <c r="J109" s="15"/>
      <c r="K109" s="15"/>
    </row>
    <row r="110" spans="1:11" x14ac:dyDescent="0.4">
      <c r="A110" s="56">
        <v>39263</v>
      </c>
      <c r="B110" s="9">
        <v>47.6</v>
      </c>
      <c r="C110" s="9">
        <v>47.92</v>
      </c>
      <c r="D110" s="9">
        <v>46.15</v>
      </c>
      <c r="E110" s="9">
        <v>47.54</v>
      </c>
      <c r="G110" s="15">
        <f t="shared" si="12"/>
        <v>-380.32</v>
      </c>
      <c r="H110" s="15">
        <f t="shared" si="13"/>
        <v>-383.36</v>
      </c>
      <c r="I110" s="15">
        <f t="shared" si="14"/>
        <v>-369.2</v>
      </c>
      <c r="J110" s="15"/>
      <c r="K110" s="15"/>
    </row>
    <row r="111" spans="1:11" x14ac:dyDescent="0.4">
      <c r="A111" s="56">
        <v>39294</v>
      </c>
      <c r="B111" s="9">
        <v>47.53</v>
      </c>
      <c r="C111" s="9">
        <v>50.66</v>
      </c>
      <c r="D111" s="9">
        <v>47.43</v>
      </c>
      <c r="E111" s="9">
        <v>47.59</v>
      </c>
      <c r="G111" s="15">
        <f t="shared" si="12"/>
        <v>-380.72</v>
      </c>
      <c r="H111" s="15">
        <f t="shared" si="13"/>
        <v>-405.28</v>
      </c>
      <c r="I111" s="15">
        <f t="shared" si="14"/>
        <v>-379.44</v>
      </c>
      <c r="J111" s="15"/>
      <c r="K111" s="15"/>
    </row>
    <row r="112" spans="1:11" x14ac:dyDescent="0.4">
      <c r="A112" s="56">
        <v>39325</v>
      </c>
      <c r="B112" s="9">
        <v>48.87</v>
      </c>
      <c r="C112" s="9">
        <v>49.06</v>
      </c>
      <c r="D112" s="9">
        <v>40.549999999999997</v>
      </c>
      <c r="E112" s="9">
        <v>47.29</v>
      </c>
      <c r="G112" s="15">
        <f t="shared" si="12"/>
        <v>-378.32</v>
      </c>
      <c r="H112" s="15">
        <f t="shared" si="13"/>
        <v>-392.48</v>
      </c>
      <c r="I112" s="15">
        <f t="shared" si="14"/>
        <v>-324.39999999999998</v>
      </c>
      <c r="J112" s="15"/>
      <c r="K112" s="15"/>
    </row>
    <row r="113" spans="1:11" x14ac:dyDescent="0.4">
      <c r="A113" s="56">
        <v>39355</v>
      </c>
      <c r="B113" s="9">
        <v>51.41</v>
      </c>
      <c r="C113" s="9">
        <v>52.77</v>
      </c>
      <c r="D113" s="9">
        <v>47.95</v>
      </c>
      <c r="E113" s="9">
        <v>48.84</v>
      </c>
      <c r="G113" s="15">
        <f t="shared" si="12"/>
        <v>-390.72</v>
      </c>
      <c r="H113" s="15">
        <f t="shared" si="13"/>
        <v>-422.16</v>
      </c>
      <c r="I113" s="15">
        <f t="shared" si="14"/>
        <v>-383.6</v>
      </c>
      <c r="J113" s="15"/>
      <c r="K113" s="15"/>
    </row>
    <row r="114" spans="1:11" x14ac:dyDescent="0.4">
      <c r="A114" s="56">
        <v>39386</v>
      </c>
      <c r="B114" s="9">
        <v>55.03</v>
      </c>
      <c r="C114" s="9">
        <v>55.07</v>
      </c>
      <c r="D114" s="9">
        <v>51.34</v>
      </c>
      <c r="E114" s="9">
        <v>51.43</v>
      </c>
      <c r="G114" s="15">
        <f t="shared" si="12"/>
        <v>-411.44</v>
      </c>
      <c r="H114" s="15">
        <f t="shared" si="13"/>
        <v>-440.56</v>
      </c>
      <c r="I114" s="15">
        <f t="shared" si="14"/>
        <v>-410.72</v>
      </c>
      <c r="J114" s="15"/>
      <c r="K114" s="15"/>
    </row>
    <row r="115" spans="1:11" x14ac:dyDescent="0.4">
      <c r="A115" s="56">
        <v>39416</v>
      </c>
      <c r="B115" s="9">
        <v>51.31</v>
      </c>
      <c r="C115" s="9">
        <v>54.99</v>
      </c>
      <c r="D115" s="9">
        <v>48.65</v>
      </c>
      <c r="E115" s="9">
        <v>54.99</v>
      </c>
      <c r="G115" s="15">
        <f t="shared" si="12"/>
        <v>-439.92</v>
      </c>
      <c r="H115" s="15">
        <f t="shared" si="13"/>
        <v>-439.92</v>
      </c>
      <c r="I115" s="15">
        <f t="shared" si="14"/>
        <v>-389.2</v>
      </c>
      <c r="J115" s="15"/>
      <c r="K115" s="15"/>
    </row>
    <row r="116" spans="1:11" x14ac:dyDescent="0.4">
      <c r="A116" s="56">
        <v>39447</v>
      </c>
      <c r="B116" s="9">
        <v>51.22</v>
      </c>
      <c r="C116" s="9">
        <v>52.84</v>
      </c>
      <c r="D116" s="9">
        <v>49.61</v>
      </c>
      <c r="E116" s="9">
        <v>51.09</v>
      </c>
      <c r="F116" s="15"/>
      <c r="G116" s="15">
        <f t="shared" si="12"/>
        <v>-408.72</v>
      </c>
      <c r="H116" s="15">
        <f t="shared" si="13"/>
        <v>-422.72</v>
      </c>
      <c r="I116" s="15">
        <f t="shared" si="14"/>
        <v>-396.88</v>
      </c>
      <c r="J116" s="15"/>
      <c r="K116" s="15"/>
    </row>
    <row r="117" spans="1:11" x14ac:dyDescent="0.4">
      <c r="A117" s="56">
        <v>39478</v>
      </c>
      <c r="B117" s="9">
        <v>45.13</v>
      </c>
      <c r="C117" s="9">
        <v>51.47</v>
      </c>
      <c r="D117" s="9">
        <v>41.61</v>
      </c>
      <c r="E117" s="9">
        <v>51.27</v>
      </c>
      <c r="G117" s="15">
        <f t="shared" si="12"/>
        <v>-410.16</v>
      </c>
      <c r="H117" s="15">
        <f t="shared" si="13"/>
        <v>-411.76</v>
      </c>
      <c r="I117" s="15">
        <f t="shared" si="14"/>
        <v>-332.88</v>
      </c>
      <c r="J117" s="15">
        <f>-MAX(C117:C128)*12*J$1</f>
        <v>-4323.4799999999996</v>
      </c>
      <c r="K117" s="15">
        <f>-MIN(D117:D128)*12*K$1</f>
        <v>-3306.6000000000004</v>
      </c>
    </row>
    <row r="118" spans="1:11" x14ac:dyDescent="0.4">
      <c r="A118" s="56">
        <v>39507</v>
      </c>
      <c r="B118" s="9">
        <v>42.95</v>
      </c>
      <c r="C118" s="9">
        <v>45.88</v>
      </c>
      <c r="D118" s="9">
        <v>42.15</v>
      </c>
      <c r="E118" s="9">
        <v>45.5</v>
      </c>
      <c r="G118" s="15">
        <f t="shared" si="12"/>
        <v>-364</v>
      </c>
      <c r="H118" s="15">
        <f t="shared" si="13"/>
        <v>-367.04</v>
      </c>
      <c r="I118" s="15">
        <f t="shared" si="14"/>
        <v>-337.2</v>
      </c>
      <c r="J118" s="15"/>
      <c r="K118" s="15"/>
    </row>
    <row r="119" spans="1:11" x14ac:dyDescent="0.4">
      <c r="A119" s="56">
        <v>39538</v>
      </c>
      <c r="B119" s="9">
        <v>43.72</v>
      </c>
      <c r="C119" s="9">
        <v>45.07</v>
      </c>
      <c r="D119" s="9">
        <v>41.05</v>
      </c>
      <c r="E119" s="9">
        <v>42.92</v>
      </c>
      <c r="G119" s="15">
        <f t="shared" si="12"/>
        <v>-343.36</v>
      </c>
      <c r="H119" s="15">
        <f t="shared" si="13"/>
        <v>-360.56</v>
      </c>
      <c r="I119" s="15">
        <f t="shared" si="14"/>
        <v>-328.4</v>
      </c>
      <c r="J119" s="15"/>
      <c r="K119" s="15"/>
    </row>
    <row r="120" spans="1:11" x14ac:dyDescent="0.4">
      <c r="A120" s="56">
        <v>39568</v>
      </c>
      <c r="B120" s="9">
        <v>47.21</v>
      </c>
      <c r="C120" s="9">
        <v>48.06</v>
      </c>
      <c r="D120" s="9">
        <v>43.68</v>
      </c>
      <c r="E120" s="9">
        <v>44.42</v>
      </c>
      <c r="G120" s="15">
        <f t="shared" si="12"/>
        <v>-355.36</v>
      </c>
      <c r="H120" s="15">
        <f t="shared" si="13"/>
        <v>-384.48</v>
      </c>
      <c r="I120" s="15">
        <f t="shared" si="14"/>
        <v>-349.44</v>
      </c>
      <c r="J120" s="15"/>
      <c r="K120" s="15"/>
    </row>
    <row r="121" spans="1:11" x14ac:dyDescent="0.4">
      <c r="A121" s="56">
        <v>39599</v>
      </c>
      <c r="B121" s="9">
        <v>50.01</v>
      </c>
      <c r="C121" s="9">
        <v>50.47</v>
      </c>
      <c r="D121" s="9">
        <v>47.22</v>
      </c>
      <c r="E121" s="9">
        <v>47.23</v>
      </c>
      <c r="G121" s="15">
        <f t="shared" si="12"/>
        <v>-377.84</v>
      </c>
      <c r="H121" s="15">
        <f t="shared" si="13"/>
        <v>-403.76</v>
      </c>
      <c r="I121" s="15">
        <f t="shared" si="14"/>
        <v>-377.76</v>
      </c>
      <c r="J121" s="15"/>
      <c r="K121" s="15"/>
    </row>
    <row r="122" spans="1:11" x14ac:dyDescent="0.4">
      <c r="A122" s="56">
        <v>39629</v>
      </c>
      <c r="B122" s="9">
        <v>45.17</v>
      </c>
      <c r="C122" s="9">
        <v>50.61</v>
      </c>
      <c r="D122" s="9">
        <v>44.97</v>
      </c>
      <c r="E122" s="9">
        <v>49.92</v>
      </c>
      <c r="G122" s="15">
        <f t="shared" si="12"/>
        <v>-399.36</v>
      </c>
      <c r="H122" s="15">
        <f t="shared" si="13"/>
        <v>-404.88</v>
      </c>
      <c r="I122" s="15">
        <f t="shared" si="14"/>
        <v>-359.76</v>
      </c>
      <c r="J122" s="15"/>
      <c r="K122" s="15"/>
    </row>
    <row r="123" spans="1:11" x14ac:dyDescent="0.4">
      <c r="A123" s="56">
        <v>39660</v>
      </c>
      <c r="B123" s="9">
        <v>45.46</v>
      </c>
      <c r="C123" s="9">
        <v>46.15</v>
      </c>
      <c r="D123" s="9">
        <v>43.3</v>
      </c>
      <c r="E123" s="9">
        <v>44.81</v>
      </c>
      <c r="G123" s="15">
        <f t="shared" si="12"/>
        <v>-358.48</v>
      </c>
      <c r="H123" s="15">
        <f t="shared" si="13"/>
        <v>-369.2</v>
      </c>
      <c r="I123" s="15">
        <f t="shared" si="14"/>
        <v>-346.4</v>
      </c>
      <c r="J123" s="15"/>
      <c r="K123" s="15"/>
    </row>
    <row r="124" spans="1:11" x14ac:dyDescent="0.4">
      <c r="A124" s="56">
        <v>39691</v>
      </c>
      <c r="B124" s="9">
        <v>46.12</v>
      </c>
      <c r="C124" s="9">
        <v>48.57</v>
      </c>
      <c r="D124" s="9">
        <v>44.3</v>
      </c>
      <c r="E124" s="9">
        <v>45.51</v>
      </c>
      <c r="G124" s="15">
        <f t="shared" si="12"/>
        <v>-364.08</v>
      </c>
      <c r="H124" s="15">
        <f t="shared" si="13"/>
        <v>-388.56</v>
      </c>
      <c r="I124" s="15">
        <f t="shared" si="14"/>
        <v>-354.4</v>
      </c>
      <c r="J124" s="15"/>
      <c r="K124" s="15"/>
    </row>
    <row r="125" spans="1:11" x14ac:dyDescent="0.4">
      <c r="A125" s="56">
        <v>39721</v>
      </c>
      <c r="B125" s="9">
        <v>38.909999999999997</v>
      </c>
      <c r="C125" s="9">
        <v>47.08</v>
      </c>
      <c r="D125" s="9">
        <v>37.18</v>
      </c>
      <c r="E125" s="9">
        <v>46.87</v>
      </c>
      <c r="G125" s="15">
        <f t="shared" si="12"/>
        <v>-374.96</v>
      </c>
      <c r="H125" s="15">
        <f t="shared" si="13"/>
        <v>-376.64</v>
      </c>
      <c r="I125" s="15">
        <f t="shared" si="14"/>
        <v>-297.44</v>
      </c>
      <c r="J125" s="15"/>
      <c r="K125" s="15"/>
    </row>
    <row r="126" spans="1:11" x14ac:dyDescent="0.4">
      <c r="A126" s="56">
        <v>39752</v>
      </c>
      <c r="B126" s="9">
        <v>32.89</v>
      </c>
      <c r="C126" s="9">
        <v>38.97</v>
      </c>
      <c r="D126" s="9">
        <v>28.09</v>
      </c>
      <c r="E126" s="9">
        <v>38.840000000000003</v>
      </c>
      <c r="G126" s="15">
        <f t="shared" si="12"/>
        <v>-310.72000000000003</v>
      </c>
      <c r="H126" s="15">
        <f t="shared" si="13"/>
        <v>-311.76</v>
      </c>
      <c r="I126" s="15">
        <f t="shared" si="14"/>
        <v>-224.72</v>
      </c>
      <c r="J126" s="15"/>
      <c r="K126" s="15"/>
    </row>
    <row r="127" spans="1:11" x14ac:dyDescent="0.4">
      <c r="A127" s="56">
        <v>39782</v>
      </c>
      <c r="B127" s="9">
        <v>29.35</v>
      </c>
      <c r="C127" s="9">
        <v>34.01</v>
      </c>
      <c r="D127" s="9">
        <v>25.05</v>
      </c>
      <c r="E127" s="9">
        <v>32.840000000000003</v>
      </c>
      <c r="G127" s="15">
        <f t="shared" si="12"/>
        <v>-262.72000000000003</v>
      </c>
      <c r="H127" s="15">
        <f t="shared" si="13"/>
        <v>-272.08</v>
      </c>
      <c r="I127" s="15">
        <f t="shared" si="14"/>
        <v>-200.4</v>
      </c>
      <c r="J127" s="15"/>
      <c r="K127" s="15"/>
    </row>
    <row r="128" spans="1:11" x14ac:dyDescent="0.4">
      <c r="A128" s="56">
        <v>39813</v>
      </c>
      <c r="B128" s="9">
        <v>29.74</v>
      </c>
      <c r="C128" s="9">
        <v>30.83</v>
      </c>
      <c r="D128" s="9">
        <v>26.84</v>
      </c>
      <c r="E128" s="9">
        <v>28.5</v>
      </c>
      <c r="F128" s="15"/>
      <c r="G128" s="15">
        <f t="shared" si="12"/>
        <v>-228</v>
      </c>
      <c r="H128" s="15">
        <f t="shared" si="13"/>
        <v>-246.64</v>
      </c>
      <c r="I128" s="15">
        <f t="shared" si="14"/>
        <v>-214.72</v>
      </c>
      <c r="J128" s="15"/>
      <c r="K128" s="15"/>
    </row>
    <row r="129" spans="1:11" x14ac:dyDescent="0.4">
      <c r="A129" s="56">
        <v>39844</v>
      </c>
      <c r="B129" s="9">
        <v>29.06</v>
      </c>
      <c r="C129" s="9">
        <v>31.63</v>
      </c>
      <c r="D129" s="9">
        <v>27.96</v>
      </c>
      <c r="E129" s="9">
        <v>29.75</v>
      </c>
      <c r="G129" s="15">
        <f t="shared" si="12"/>
        <v>-238</v>
      </c>
      <c r="H129" s="15">
        <f t="shared" si="13"/>
        <v>-253.04</v>
      </c>
      <c r="I129" s="15">
        <f t="shared" si="14"/>
        <v>-223.68</v>
      </c>
      <c r="J129" s="15">
        <f>-MAX(C129:C140)*12*J$1</f>
        <v>-3889.1999999999994</v>
      </c>
      <c r="K129" s="15">
        <f>-MIN(D129:D140)*12*K$1</f>
        <v>-3383.16</v>
      </c>
    </row>
    <row r="130" spans="1:11" x14ac:dyDescent="0.4">
      <c r="A130" s="56">
        <v>39872</v>
      </c>
      <c r="B130" s="9">
        <v>27.53</v>
      </c>
      <c r="C130" s="9">
        <v>31.68</v>
      </c>
      <c r="D130" s="9">
        <v>27.39</v>
      </c>
      <c r="E130" s="9">
        <v>28.78</v>
      </c>
      <c r="G130" s="15">
        <f t="shared" si="12"/>
        <v>-230.24</v>
      </c>
      <c r="H130" s="15">
        <f t="shared" si="13"/>
        <v>-253.44</v>
      </c>
      <c r="I130" s="15">
        <f t="shared" si="14"/>
        <v>-219.12</v>
      </c>
      <c r="J130" s="15"/>
      <c r="K130" s="15"/>
    </row>
    <row r="131" spans="1:11" x14ac:dyDescent="0.4">
      <c r="A131" s="56">
        <v>39903</v>
      </c>
      <c r="B131" s="9">
        <v>30.32</v>
      </c>
      <c r="C131" s="9">
        <v>31.46</v>
      </c>
      <c r="D131" s="9">
        <v>25.63</v>
      </c>
      <c r="E131" s="9">
        <v>27.12</v>
      </c>
      <c r="G131" s="15">
        <f t="shared" si="12"/>
        <v>-216.96</v>
      </c>
      <c r="H131" s="15">
        <f t="shared" si="13"/>
        <v>-251.68</v>
      </c>
      <c r="I131" s="15">
        <f t="shared" si="14"/>
        <v>-205.04</v>
      </c>
      <c r="J131" s="15"/>
      <c r="K131" s="15"/>
    </row>
    <row r="132" spans="1:11" x14ac:dyDescent="0.4">
      <c r="A132" s="56">
        <v>39933</v>
      </c>
      <c r="B132" s="9">
        <v>34.28</v>
      </c>
      <c r="C132" s="9">
        <v>34.9</v>
      </c>
      <c r="D132" s="9">
        <v>29.79</v>
      </c>
      <c r="E132" s="9">
        <v>29.94</v>
      </c>
      <c r="G132" s="15">
        <f t="shared" si="12"/>
        <v>-239.52</v>
      </c>
      <c r="H132" s="15">
        <f t="shared" si="13"/>
        <v>-279.2</v>
      </c>
      <c r="I132" s="15">
        <f t="shared" si="14"/>
        <v>-238.32</v>
      </c>
      <c r="J132" s="15"/>
      <c r="K132" s="15"/>
    </row>
    <row r="133" spans="1:11" x14ac:dyDescent="0.4">
      <c r="A133" s="56">
        <v>39964</v>
      </c>
      <c r="B133" s="9">
        <v>35.380000000000003</v>
      </c>
      <c r="C133" s="9">
        <v>35.5</v>
      </c>
      <c r="D133" s="9">
        <v>32.96</v>
      </c>
      <c r="E133" s="9">
        <v>34.270000000000003</v>
      </c>
      <c r="G133" s="15">
        <f t="shared" si="12"/>
        <v>-274.16000000000003</v>
      </c>
      <c r="H133" s="15">
        <f t="shared" si="13"/>
        <v>-284</v>
      </c>
      <c r="I133" s="15">
        <f t="shared" si="14"/>
        <v>-263.68</v>
      </c>
      <c r="J133" s="15"/>
      <c r="K133" s="15"/>
    </row>
    <row r="134" spans="1:11" x14ac:dyDescent="0.4">
      <c r="A134" s="56">
        <v>39994</v>
      </c>
      <c r="B134" s="9">
        <v>36.380000000000003</v>
      </c>
      <c r="C134" s="9">
        <v>37.229999999999997</v>
      </c>
      <c r="D134" s="9">
        <v>34.770000000000003</v>
      </c>
      <c r="E134" s="9">
        <v>35.76</v>
      </c>
      <c r="G134" s="15">
        <f t="shared" si="12"/>
        <v>-286.08</v>
      </c>
      <c r="H134" s="15">
        <f t="shared" si="13"/>
        <v>-297.83999999999997</v>
      </c>
      <c r="I134" s="15">
        <f t="shared" si="14"/>
        <v>-278.16000000000003</v>
      </c>
      <c r="J134" s="15"/>
      <c r="K134" s="15"/>
    </row>
    <row r="135" spans="1:11" x14ac:dyDescent="0.4">
      <c r="A135" s="56">
        <v>40025</v>
      </c>
      <c r="B135" s="9">
        <v>39.450000000000003</v>
      </c>
      <c r="C135" s="9">
        <v>40.18</v>
      </c>
      <c r="D135" s="9">
        <v>34.299999999999997</v>
      </c>
      <c r="E135" s="9">
        <v>36.56</v>
      </c>
      <c r="G135" s="15">
        <f t="shared" si="12"/>
        <v>-292.48</v>
      </c>
      <c r="H135" s="15">
        <f t="shared" si="13"/>
        <v>-321.44</v>
      </c>
      <c r="I135" s="15">
        <f t="shared" si="14"/>
        <v>-274.39999999999998</v>
      </c>
      <c r="J135" s="15"/>
      <c r="K135" s="15"/>
    </row>
    <row r="136" spans="1:11" x14ac:dyDescent="0.4">
      <c r="A136" s="56">
        <v>40056</v>
      </c>
      <c r="B136" s="9">
        <v>40.03</v>
      </c>
      <c r="C136" s="9">
        <v>41.08</v>
      </c>
      <c r="D136" s="9">
        <v>38.46</v>
      </c>
      <c r="E136" s="9">
        <v>39.85</v>
      </c>
      <c r="G136" s="15">
        <f t="shared" si="12"/>
        <v>-318.8</v>
      </c>
      <c r="H136" s="15">
        <f t="shared" si="13"/>
        <v>-328.64</v>
      </c>
      <c r="I136" s="15">
        <f t="shared" si="14"/>
        <v>-307.68</v>
      </c>
      <c r="J136" s="15"/>
      <c r="K136" s="15"/>
    </row>
    <row r="137" spans="1:11" x14ac:dyDescent="0.4">
      <c r="A137" s="56">
        <v>40086</v>
      </c>
      <c r="B137" s="9">
        <v>42.25</v>
      </c>
      <c r="C137" s="9">
        <v>43.17</v>
      </c>
      <c r="D137" s="9">
        <v>39.020000000000003</v>
      </c>
      <c r="E137" s="9">
        <v>39.89</v>
      </c>
      <c r="G137" s="15">
        <f t="shared" si="12"/>
        <v>-319.12</v>
      </c>
      <c r="H137" s="15">
        <f t="shared" si="13"/>
        <v>-345.36</v>
      </c>
      <c r="I137" s="15">
        <f t="shared" si="14"/>
        <v>-312.16000000000003</v>
      </c>
      <c r="J137" s="15"/>
      <c r="K137" s="15"/>
    </row>
    <row r="138" spans="1:11" x14ac:dyDescent="0.4">
      <c r="A138" s="56">
        <v>40117</v>
      </c>
      <c r="B138" s="9">
        <v>40.96</v>
      </c>
      <c r="C138" s="9">
        <v>43.82</v>
      </c>
      <c r="D138" s="9">
        <v>40.72</v>
      </c>
      <c r="E138" s="9">
        <v>42.1</v>
      </c>
      <c r="G138" s="15">
        <f t="shared" si="12"/>
        <v>-336.8</v>
      </c>
      <c r="H138" s="15">
        <f t="shared" si="13"/>
        <v>-350.56</v>
      </c>
      <c r="I138" s="15">
        <f t="shared" si="14"/>
        <v>-325.76</v>
      </c>
      <c r="J138" s="15"/>
      <c r="K138" s="15"/>
    </row>
    <row r="139" spans="1:11" x14ac:dyDescent="0.4">
      <c r="A139" s="56">
        <v>40147</v>
      </c>
      <c r="B139" s="9">
        <v>43.56</v>
      </c>
      <c r="C139" s="9">
        <v>44.65</v>
      </c>
      <c r="D139" s="9">
        <v>40.64</v>
      </c>
      <c r="E139" s="9">
        <v>41</v>
      </c>
      <c r="G139" s="15">
        <f t="shared" ref="G139:G202" si="15">-E139*G$1</f>
        <v>-328</v>
      </c>
      <c r="H139" s="15">
        <f t="shared" ref="H139:H202" si="16">-C139*H$1</f>
        <v>-357.2</v>
      </c>
      <c r="I139" s="15">
        <f t="shared" ref="I139:I202" si="17">-D139*I$1</f>
        <v>-325.12</v>
      </c>
      <c r="J139" s="15"/>
      <c r="K139" s="15"/>
    </row>
    <row r="140" spans="1:11" x14ac:dyDescent="0.4">
      <c r="A140" s="56">
        <v>40178</v>
      </c>
      <c r="B140" s="9">
        <v>45.75</v>
      </c>
      <c r="C140" s="9">
        <v>46.3</v>
      </c>
      <c r="D140" s="9">
        <v>43.32</v>
      </c>
      <c r="E140" s="9">
        <v>43.88</v>
      </c>
      <c r="F140" s="15"/>
      <c r="G140" s="15">
        <f t="shared" si="15"/>
        <v>-351.04</v>
      </c>
      <c r="H140" s="15">
        <f t="shared" si="16"/>
        <v>-370.4</v>
      </c>
      <c r="I140" s="15">
        <f t="shared" si="17"/>
        <v>-346.56</v>
      </c>
      <c r="J140" s="15"/>
      <c r="K140" s="15"/>
    </row>
    <row r="141" spans="1:11" x14ac:dyDescent="0.4">
      <c r="A141" s="56">
        <v>40209</v>
      </c>
      <c r="B141" s="9">
        <v>42.79</v>
      </c>
      <c r="C141" s="9">
        <v>46.64</v>
      </c>
      <c r="D141" s="9">
        <v>42.63</v>
      </c>
      <c r="E141" s="9">
        <v>46.33</v>
      </c>
      <c r="G141" s="15">
        <f t="shared" si="15"/>
        <v>-370.64</v>
      </c>
      <c r="H141" s="15">
        <f t="shared" si="16"/>
        <v>-373.12</v>
      </c>
      <c r="I141" s="15">
        <f t="shared" si="17"/>
        <v>-341.04</v>
      </c>
      <c r="J141" s="15">
        <f>-MAX(C141:C152)*12*J$1</f>
        <v>-4616.6399999999994</v>
      </c>
      <c r="K141" s="15">
        <f>-MIN(D141:D152)*12*K$1</f>
        <v>-5484.5999999999995</v>
      </c>
    </row>
    <row r="142" spans="1:11" x14ac:dyDescent="0.4">
      <c r="A142" s="56">
        <v>40237</v>
      </c>
      <c r="B142" s="9">
        <v>44.76</v>
      </c>
      <c r="C142" s="9">
        <v>45.05</v>
      </c>
      <c r="D142" s="9">
        <v>42.12</v>
      </c>
      <c r="E142" s="9">
        <v>42.91</v>
      </c>
      <c r="G142" s="15">
        <f t="shared" si="15"/>
        <v>-343.28</v>
      </c>
      <c r="H142" s="15">
        <f t="shared" si="16"/>
        <v>-360.4</v>
      </c>
      <c r="I142" s="15">
        <f t="shared" si="17"/>
        <v>-336.96</v>
      </c>
      <c r="J142" s="15"/>
      <c r="K142" s="15"/>
    </row>
    <row r="143" spans="1:11" x14ac:dyDescent="0.4">
      <c r="A143" s="56">
        <v>40268</v>
      </c>
      <c r="B143" s="9">
        <v>48.16</v>
      </c>
      <c r="C143" s="9">
        <v>48.6</v>
      </c>
      <c r="D143" s="9">
        <v>44.95</v>
      </c>
      <c r="E143" s="9">
        <v>44.96</v>
      </c>
      <c r="G143" s="15">
        <f t="shared" si="15"/>
        <v>-359.68</v>
      </c>
      <c r="H143" s="15">
        <f t="shared" si="16"/>
        <v>-388.8</v>
      </c>
      <c r="I143" s="15">
        <f t="shared" si="17"/>
        <v>-359.6</v>
      </c>
      <c r="J143" s="15"/>
      <c r="K143" s="15"/>
    </row>
    <row r="144" spans="1:11" x14ac:dyDescent="0.4">
      <c r="A144" s="56">
        <v>40298</v>
      </c>
      <c r="B144" s="9">
        <v>49.24</v>
      </c>
      <c r="C144" s="9">
        <v>50.65</v>
      </c>
      <c r="D144" s="9">
        <v>47.79</v>
      </c>
      <c r="E144" s="9">
        <v>48.36</v>
      </c>
      <c r="G144" s="15">
        <f t="shared" si="15"/>
        <v>-386.88</v>
      </c>
      <c r="H144" s="15">
        <f t="shared" si="16"/>
        <v>-405.2</v>
      </c>
      <c r="I144" s="15">
        <f t="shared" si="17"/>
        <v>-382.32</v>
      </c>
      <c r="J144" s="15"/>
      <c r="K144" s="15"/>
    </row>
    <row r="145" spans="1:11" x14ac:dyDescent="0.4">
      <c r="A145" s="56">
        <v>40329</v>
      </c>
      <c r="B145" s="9">
        <v>45.6</v>
      </c>
      <c r="C145" s="9">
        <v>50.17</v>
      </c>
      <c r="D145" s="9">
        <v>41.55</v>
      </c>
      <c r="E145" s="9">
        <v>49.44</v>
      </c>
      <c r="G145" s="15">
        <f t="shared" si="15"/>
        <v>-395.52</v>
      </c>
      <c r="H145" s="15">
        <f t="shared" si="16"/>
        <v>-401.36</v>
      </c>
      <c r="I145" s="15">
        <f t="shared" si="17"/>
        <v>-332.4</v>
      </c>
      <c r="J145" s="15"/>
      <c r="K145" s="15"/>
    </row>
    <row r="146" spans="1:11" x14ac:dyDescent="0.4">
      <c r="A146" s="56">
        <v>40359</v>
      </c>
      <c r="B146" s="9">
        <v>42.71</v>
      </c>
      <c r="C146" s="9">
        <v>47.68</v>
      </c>
      <c r="D146" s="9">
        <v>42.64</v>
      </c>
      <c r="E146" s="9">
        <v>45.46</v>
      </c>
      <c r="G146" s="15">
        <f t="shared" si="15"/>
        <v>-363.68</v>
      </c>
      <c r="H146" s="15">
        <f t="shared" si="16"/>
        <v>-381.44</v>
      </c>
      <c r="I146" s="15">
        <f t="shared" si="17"/>
        <v>-341.12</v>
      </c>
      <c r="J146" s="15"/>
      <c r="K146" s="15"/>
    </row>
    <row r="147" spans="1:11" x14ac:dyDescent="0.4">
      <c r="A147" s="56">
        <v>40390</v>
      </c>
      <c r="B147" s="9">
        <v>45.81</v>
      </c>
      <c r="C147" s="9">
        <v>46.72</v>
      </c>
      <c r="D147" s="9">
        <v>41.77</v>
      </c>
      <c r="E147" s="9">
        <v>42.84</v>
      </c>
      <c r="G147" s="15">
        <f t="shared" si="15"/>
        <v>-342.72</v>
      </c>
      <c r="H147" s="15">
        <f t="shared" si="16"/>
        <v>-373.76</v>
      </c>
      <c r="I147" s="15">
        <f t="shared" si="17"/>
        <v>-334.16</v>
      </c>
      <c r="J147" s="15"/>
      <c r="K147" s="15"/>
    </row>
    <row r="148" spans="1:11" x14ac:dyDescent="0.4">
      <c r="A148" s="56">
        <v>40421</v>
      </c>
      <c r="B148" s="9">
        <v>43.46</v>
      </c>
      <c r="C148" s="9">
        <v>47.19</v>
      </c>
      <c r="D148" s="9">
        <v>42.97</v>
      </c>
      <c r="E148" s="9">
        <v>46.39</v>
      </c>
      <c r="G148" s="15">
        <f t="shared" si="15"/>
        <v>-371.12</v>
      </c>
      <c r="H148" s="15">
        <f t="shared" si="16"/>
        <v>-377.52</v>
      </c>
      <c r="I148" s="15">
        <f t="shared" si="17"/>
        <v>-343.76</v>
      </c>
      <c r="J148" s="15"/>
      <c r="K148" s="15"/>
    </row>
    <row r="149" spans="1:11" x14ac:dyDescent="0.4">
      <c r="A149" s="56">
        <v>40451</v>
      </c>
      <c r="B149" s="9">
        <v>49.07</v>
      </c>
      <c r="C149" s="9">
        <v>49.84</v>
      </c>
      <c r="D149" s="9">
        <v>44.07</v>
      </c>
      <c r="E149" s="9">
        <v>44.1</v>
      </c>
      <c r="G149" s="15">
        <f t="shared" si="15"/>
        <v>-352.8</v>
      </c>
      <c r="H149" s="15">
        <f t="shared" si="16"/>
        <v>-398.72</v>
      </c>
      <c r="I149" s="15">
        <f t="shared" si="17"/>
        <v>-352.56</v>
      </c>
      <c r="J149" s="15"/>
      <c r="K149" s="15"/>
    </row>
    <row r="150" spans="1:11" x14ac:dyDescent="0.4">
      <c r="A150" s="56">
        <v>40482</v>
      </c>
      <c r="B150" s="9">
        <v>52.18</v>
      </c>
      <c r="C150" s="9">
        <v>52.49</v>
      </c>
      <c r="D150" s="9">
        <v>48.2</v>
      </c>
      <c r="E150" s="9">
        <v>49.48</v>
      </c>
      <c r="G150" s="15">
        <f t="shared" si="15"/>
        <v>-395.84</v>
      </c>
      <c r="H150" s="15">
        <f t="shared" si="16"/>
        <v>-419.92</v>
      </c>
      <c r="I150" s="15">
        <f t="shared" si="17"/>
        <v>-385.6</v>
      </c>
      <c r="J150" s="15"/>
      <c r="K150" s="15"/>
    </row>
    <row r="151" spans="1:11" x14ac:dyDescent="0.4">
      <c r="A151" s="56">
        <v>40512</v>
      </c>
      <c r="B151" s="9">
        <v>52.09</v>
      </c>
      <c r="C151" s="9">
        <v>54.04</v>
      </c>
      <c r="D151" s="9">
        <v>50.85</v>
      </c>
      <c r="E151" s="9">
        <v>52.37</v>
      </c>
      <c r="G151" s="15">
        <f t="shared" si="15"/>
        <v>-418.96</v>
      </c>
      <c r="H151" s="15">
        <f t="shared" si="16"/>
        <v>-432.32</v>
      </c>
      <c r="I151" s="15">
        <f t="shared" si="17"/>
        <v>-406.8</v>
      </c>
      <c r="J151" s="15"/>
      <c r="K151" s="15"/>
    </row>
    <row r="152" spans="1:11" x14ac:dyDescent="0.4">
      <c r="A152" s="56">
        <v>40543</v>
      </c>
      <c r="B152" s="9">
        <v>54.46</v>
      </c>
      <c r="C152" s="9">
        <v>54.96</v>
      </c>
      <c r="D152" s="9">
        <v>52.84</v>
      </c>
      <c r="E152" s="9">
        <v>52.86</v>
      </c>
      <c r="F152" s="15"/>
      <c r="G152" s="15">
        <f t="shared" si="15"/>
        <v>-422.88</v>
      </c>
      <c r="H152" s="15">
        <f t="shared" si="16"/>
        <v>-439.68</v>
      </c>
      <c r="I152" s="15">
        <f t="shared" si="17"/>
        <v>-422.72</v>
      </c>
      <c r="J152" s="15"/>
      <c r="K152" s="15"/>
    </row>
    <row r="153" spans="1:11" x14ac:dyDescent="0.4">
      <c r="A153" s="56">
        <v>40574</v>
      </c>
      <c r="B153" s="9">
        <v>56</v>
      </c>
      <c r="C153" s="9">
        <v>57.35</v>
      </c>
      <c r="D153" s="9">
        <v>54.92</v>
      </c>
      <c r="E153" s="9">
        <v>54.97</v>
      </c>
      <c r="G153" s="15">
        <f t="shared" si="15"/>
        <v>-439.76</v>
      </c>
      <c r="H153" s="15">
        <f t="shared" si="16"/>
        <v>-458.8</v>
      </c>
      <c r="I153" s="15">
        <f t="shared" si="17"/>
        <v>-439.36</v>
      </c>
      <c r="J153" s="15">
        <f>-MAX(C153:C164)*12*J$1</f>
        <v>-5025.72</v>
      </c>
      <c r="K153" s="15">
        <f>-MIN(D153:D164)*12*K$1</f>
        <v>-6590.7599999999993</v>
      </c>
    </row>
    <row r="154" spans="1:11" x14ac:dyDescent="0.4">
      <c r="A154" s="56">
        <v>40602</v>
      </c>
      <c r="B154" s="9">
        <v>57.77</v>
      </c>
      <c r="C154" s="9">
        <v>59.04</v>
      </c>
      <c r="D154" s="9">
        <v>56.13</v>
      </c>
      <c r="E154" s="9">
        <v>56.42</v>
      </c>
      <c r="G154" s="15">
        <f t="shared" si="15"/>
        <v>-451.36</v>
      </c>
      <c r="H154" s="15">
        <f t="shared" si="16"/>
        <v>-472.32</v>
      </c>
      <c r="I154" s="15">
        <f t="shared" si="17"/>
        <v>-449.04</v>
      </c>
      <c r="J154" s="15"/>
      <c r="K154" s="15"/>
    </row>
    <row r="155" spans="1:11" x14ac:dyDescent="0.4">
      <c r="A155" s="56">
        <v>40633</v>
      </c>
      <c r="B155" s="9">
        <v>57.43</v>
      </c>
      <c r="C155" s="9">
        <v>58.37</v>
      </c>
      <c r="D155" s="9">
        <v>53.77</v>
      </c>
      <c r="E155" s="9">
        <v>58.02</v>
      </c>
      <c r="G155" s="15">
        <f t="shared" si="15"/>
        <v>-464.16</v>
      </c>
      <c r="H155" s="15">
        <f t="shared" si="16"/>
        <v>-466.96</v>
      </c>
      <c r="I155" s="15">
        <f t="shared" si="17"/>
        <v>-430.16</v>
      </c>
      <c r="J155" s="15"/>
      <c r="K155" s="15"/>
    </row>
    <row r="156" spans="1:11" x14ac:dyDescent="0.4">
      <c r="A156" s="56">
        <v>40663</v>
      </c>
      <c r="B156" s="9">
        <v>59.08</v>
      </c>
      <c r="C156" s="9">
        <v>59.29</v>
      </c>
      <c r="D156" s="9">
        <v>55.32</v>
      </c>
      <c r="E156" s="9">
        <v>57.72</v>
      </c>
      <c r="G156" s="15">
        <f t="shared" si="15"/>
        <v>-461.76</v>
      </c>
      <c r="H156" s="15">
        <f t="shared" si="16"/>
        <v>-474.32</v>
      </c>
      <c r="I156" s="15">
        <f t="shared" si="17"/>
        <v>-442.56</v>
      </c>
      <c r="J156" s="15"/>
      <c r="K156" s="15"/>
    </row>
    <row r="157" spans="1:11" x14ac:dyDescent="0.4">
      <c r="A157" s="56">
        <v>40694</v>
      </c>
      <c r="B157" s="9">
        <v>58.36</v>
      </c>
      <c r="C157" s="9">
        <v>59.34</v>
      </c>
      <c r="D157" s="9">
        <v>56.47</v>
      </c>
      <c r="E157" s="9">
        <v>59.17</v>
      </c>
      <c r="G157" s="15">
        <f t="shared" si="15"/>
        <v>-473.36</v>
      </c>
      <c r="H157" s="15">
        <f t="shared" si="16"/>
        <v>-474.72</v>
      </c>
      <c r="I157" s="15">
        <f t="shared" si="17"/>
        <v>-451.76</v>
      </c>
      <c r="J157" s="15"/>
      <c r="K157" s="15"/>
    </row>
    <row r="158" spans="1:11" x14ac:dyDescent="0.4">
      <c r="A158" s="56">
        <v>40724</v>
      </c>
      <c r="B158" s="9">
        <v>57.05</v>
      </c>
      <c r="C158" s="9">
        <v>58.36</v>
      </c>
      <c r="D158" s="9">
        <v>53.62</v>
      </c>
      <c r="E158" s="9">
        <v>58.22</v>
      </c>
      <c r="G158" s="15">
        <f t="shared" si="15"/>
        <v>-465.76</v>
      </c>
      <c r="H158" s="15">
        <f t="shared" si="16"/>
        <v>-466.88</v>
      </c>
      <c r="I158" s="15">
        <f t="shared" si="17"/>
        <v>-428.96</v>
      </c>
      <c r="J158" s="15"/>
      <c r="K158" s="15"/>
    </row>
    <row r="159" spans="1:11" x14ac:dyDescent="0.4">
      <c r="A159" s="56">
        <v>40755</v>
      </c>
      <c r="B159" s="9">
        <v>58</v>
      </c>
      <c r="C159" s="9">
        <v>59.83</v>
      </c>
      <c r="D159" s="9">
        <v>56.87</v>
      </c>
      <c r="E159" s="9">
        <v>57.08</v>
      </c>
      <c r="G159" s="15">
        <f t="shared" si="15"/>
        <v>-456.64</v>
      </c>
      <c r="H159" s="15">
        <f t="shared" si="16"/>
        <v>-478.64</v>
      </c>
      <c r="I159" s="15">
        <f t="shared" si="17"/>
        <v>-454.96</v>
      </c>
      <c r="J159" s="15"/>
      <c r="K159" s="15"/>
    </row>
    <row r="160" spans="1:11" x14ac:dyDescent="0.4">
      <c r="A160" s="56">
        <v>40786</v>
      </c>
      <c r="B160" s="9">
        <v>55.06</v>
      </c>
      <c r="C160" s="9">
        <v>58.82</v>
      </c>
      <c r="D160" s="9">
        <v>49.93</v>
      </c>
      <c r="E160" s="9">
        <v>58.7</v>
      </c>
      <c r="G160" s="15">
        <f t="shared" si="15"/>
        <v>-469.6</v>
      </c>
      <c r="H160" s="15">
        <f t="shared" si="16"/>
        <v>-470.56</v>
      </c>
      <c r="I160" s="15">
        <f t="shared" si="17"/>
        <v>-399.44</v>
      </c>
      <c r="J160" s="15"/>
      <c r="K160" s="15"/>
    </row>
    <row r="161" spans="1:11" x14ac:dyDescent="0.4">
      <c r="A161" s="56">
        <v>40816</v>
      </c>
      <c r="B161" s="9">
        <v>52.49</v>
      </c>
      <c r="C161" s="9">
        <v>57.35</v>
      </c>
      <c r="D161" s="9">
        <v>51.91</v>
      </c>
      <c r="E161" s="9">
        <v>55.2</v>
      </c>
      <c r="G161" s="15">
        <f t="shared" si="15"/>
        <v>-441.6</v>
      </c>
      <c r="H161" s="15">
        <f t="shared" si="16"/>
        <v>-458.8</v>
      </c>
      <c r="I161" s="15">
        <f t="shared" si="17"/>
        <v>-415.28</v>
      </c>
      <c r="J161" s="15"/>
      <c r="K161" s="15"/>
    </row>
    <row r="162" spans="1:11" x14ac:dyDescent="0.4">
      <c r="A162" s="56">
        <v>40847</v>
      </c>
      <c r="B162" s="9">
        <v>57.95</v>
      </c>
      <c r="C162" s="9">
        <v>59.2</v>
      </c>
      <c r="D162" s="9">
        <v>50.1</v>
      </c>
      <c r="E162" s="9">
        <v>52.02</v>
      </c>
      <c r="G162" s="15">
        <f t="shared" si="15"/>
        <v>-416.16</v>
      </c>
      <c r="H162" s="15">
        <f t="shared" si="16"/>
        <v>-473.6</v>
      </c>
      <c r="I162" s="15">
        <f t="shared" si="17"/>
        <v>-400.8</v>
      </c>
      <c r="J162" s="15"/>
      <c r="K162" s="15"/>
    </row>
    <row r="163" spans="1:11" x14ac:dyDescent="0.4">
      <c r="A163" s="56">
        <v>40877</v>
      </c>
      <c r="B163" s="9">
        <v>56.39</v>
      </c>
      <c r="C163" s="9">
        <v>58.98</v>
      </c>
      <c r="D163" s="9">
        <v>52.87</v>
      </c>
      <c r="E163" s="9">
        <v>56.52</v>
      </c>
      <c r="G163" s="15">
        <f t="shared" si="15"/>
        <v>-452.16</v>
      </c>
      <c r="H163" s="15">
        <f t="shared" si="16"/>
        <v>-471.84</v>
      </c>
      <c r="I163" s="15">
        <f t="shared" si="17"/>
        <v>-422.96</v>
      </c>
      <c r="J163" s="15"/>
      <c r="K163" s="15"/>
    </row>
    <row r="164" spans="1:11" x14ac:dyDescent="0.4">
      <c r="A164" s="56">
        <v>40908</v>
      </c>
      <c r="B164" s="9">
        <v>55.83</v>
      </c>
      <c r="C164" s="9">
        <v>57.62</v>
      </c>
      <c r="D164" s="9">
        <v>54.17</v>
      </c>
      <c r="E164" s="9">
        <v>56.38</v>
      </c>
      <c r="F164" s="15"/>
      <c r="G164" s="15">
        <f t="shared" si="15"/>
        <v>-451.04</v>
      </c>
      <c r="H164" s="15">
        <f t="shared" si="16"/>
        <v>-460.96</v>
      </c>
      <c r="I164" s="15">
        <f t="shared" si="17"/>
        <v>-433.36</v>
      </c>
      <c r="J164" s="15"/>
      <c r="K164" s="15"/>
    </row>
    <row r="165" spans="1:11" x14ac:dyDescent="0.4">
      <c r="A165" s="56">
        <v>40939</v>
      </c>
      <c r="B165" s="9">
        <v>60.53</v>
      </c>
      <c r="C165" s="9">
        <v>60.86</v>
      </c>
      <c r="D165" s="9">
        <v>56.56</v>
      </c>
      <c r="E165" s="9">
        <v>56.91</v>
      </c>
      <c r="G165" s="15">
        <f t="shared" si="15"/>
        <v>-455.28</v>
      </c>
      <c r="H165" s="15">
        <f t="shared" si="16"/>
        <v>-486.88</v>
      </c>
      <c r="I165" s="15">
        <f t="shared" si="17"/>
        <v>-452.48</v>
      </c>
      <c r="J165" s="15">
        <f>-MAX(C165:C176)*12*J$1</f>
        <v>-5928.72</v>
      </c>
      <c r="K165" s="15">
        <f>-MIN(D165:D176)*12*K$1</f>
        <v>-7465.92</v>
      </c>
    </row>
    <row r="166" spans="1:11" x14ac:dyDescent="0.4">
      <c r="A166" s="56">
        <v>40968</v>
      </c>
      <c r="B166" s="9">
        <v>64.41</v>
      </c>
      <c r="C166" s="9">
        <v>64.959999999999994</v>
      </c>
      <c r="D166" s="9">
        <v>60.66</v>
      </c>
      <c r="E166" s="9">
        <v>60.88</v>
      </c>
      <c r="G166" s="15">
        <f t="shared" si="15"/>
        <v>-487.04</v>
      </c>
      <c r="H166" s="15">
        <f t="shared" si="16"/>
        <v>-519.67999999999995</v>
      </c>
      <c r="I166" s="15">
        <f t="shared" si="17"/>
        <v>-485.28</v>
      </c>
      <c r="J166" s="15"/>
      <c r="K166" s="15"/>
    </row>
    <row r="167" spans="1:11" x14ac:dyDescent="0.4">
      <c r="A167" s="56">
        <v>40999</v>
      </c>
      <c r="B167" s="9">
        <v>67.55</v>
      </c>
      <c r="C167" s="9">
        <v>68.510000000000005</v>
      </c>
      <c r="D167" s="9">
        <v>63.23</v>
      </c>
      <c r="E167" s="9">
        <v>64.650000000000006</v>
      </c>
      <c r="G167" s="15">
        <f t="shared" si="15"/>
        <v>-517.20000000000005</v>
      </c>
      <c r="H167" s="15">
        <f t="shared" si="16"/>
        <v>-548.08000000000004</v>
      </c>
      <c r="I167" s="15">
        <f t="shared" si="17"/>
        <v>-505.84</v>
      </c>
      <c r="J167" s="15"/>
      <c r="K167" s="15"/>
    </row>
    <row r="168" spans="1:11" x14ac:dyDescent="0.4">
      <c r="A168" s="56">
        <v>41029</v>
      </c>
      <c r="B168" s="9">
        <v>66.760000000000005</v>
      </c>
      <c r="C168" s="9">
        <v>68.55</v>
      </c>
      <c r="D168" s="9">
        <v>64.45</v>
      </c>
      <c r="E168" s="9">
        <v>67.48</v>
      </c>
      <c r="G168" s="15">
        <f t="shared" si="15"/>
        <v>-539.84</v>
      </c>
      <c r="H168" s="15">
        <f t="shared" si="16"/>
        <v>-548.4</v>
      </c>
      <c r="I168" s="15">
        <f t="shared" si="17"/>
        <v>-515.6</v>
      </c>
      <c r="J168" s="15"/>
      <c r="K168" s="15"/>
    </row>
    <row r="169" spans="1:11" x14ac:dyDescent="0.4">
      <c r="A169" s="56">
        <v>41060</v>
      </c>
      <c r="B169" s="9">
        <v>62.06</v>
      </c>
      <c r="C169" s="9">
        <v>67.63</v>
      </c>
      <c r="D169" s="9">
        <v>60.76</v>
      </c>
      <c r="E169" s="9">
        <v>66.69</v>
      </c>
      <c r="G169" s="15">
        <f t="shared" si="15"/>
        <v>-533.52</v>
      </c>
      <c r="H169" s="15">
        <f t="shared" si="16"/>
        <v>-541.04</v>
      </c>
      <c r="I169" s="15">
        <f t="shared" si="17"/>
        <v>-486.08</v>
      </c>
      <c r="J169" s="15"/>
      <c r="K169" s="15"/>
    </row>
    <row r="170" spans="1:11" x14ac:dyDescent="0.4">
      <c r="A170" s="56">
        <v>41090</v>
      </c>
      <c r="B170" s="9">
        <v>64.16</v>
      </c>
      <c r="C170" s="9">
        <v>64.569999999999993</v>
      </c>
      <c r="D170" s="9">
        <v>60.04</v>
      </c>
      <c r="E170" s="9">
        <v>60.94</v>
      </c>
      <c r="G170" s="15">
        <f t="shared" si="15"/>
        <v>-487.52</v>
      </c>
      <c r="H170" s="15">
        <f t="shared" si="16"/>
        <v>-516.55999999999995</v>
      </c>
      <c r="I170" s="15">
        <f t="shared" si="17"/>
        <v>-480.32</v>
      </c>
      <c r="J170" s="15"/>
      <c r="K170" s="15"/>
    </row>
    <row r="171" spans="1:11" x14ac:dyDescent="0.4">
      <c r="A171" s="56">
        <v>41121</v>
      </c>
      <c r="B171" s="9">
        <v>64.8</v>
      </c>
      <c r="C171" s="9">
        <v>65.31</v>
      </c>
      <c r="D171" s="9">
        <v>61.86</v>
      </c>
      <c r="E171" s="9">
        <v>64.25</v>
      </c>
      <c r="G171" s="15">
        <f t="shared" si="15"/>
        <v>-514</v>
      </c>
      <c r="H171" s="15">
        <f t="shared" si="16"/>
        <v>-522.48</v>
      </c>
      <c r="I171" s="15">
        <f t="shared" si="17"/>
        <v>-494.88</v>
      </c>
      <c r="J171" s="15"/>
      <c r="K171" s="15"/>
    </row>
    <row r="172" spans="1:11" x14ac:dyDescent="0.4">
      <c r="A172" s="56">
        <v>41152</v>
      </c>
      <c r="B172" s="9">
        <v>68.16</v>
      </c>
      <c r="C172" s="9">
        <v>68.88</v>
      </c>
      <c r="D172" s="9">
        <v>63.91</v>
      </c>
      <c r="E172" s="9">
        <v>65.260000000000005</v>
      </c>
      <c r="G172" s="15">
        <f t="shared" si="15"/>
        <v>-522.08000000000004</v>
      </c>
      <c r="H172" s="15">
        <f t="shared" si="16"/>
        <v>-551.04</v>
      </c>
      <c r="I172" s="15">
        <f t="shared" si="17"/>
        <v>-511.28</v>
      </c>
      <c r="J172" s="15"/>
      <c r="K172" s="15"/>
    </row>
    <row r="173" spans="1:11" x14ac:dyDescent="0.4">
      <c r="A173" s="56">
        <v>41182</v>
      </c>
      <c r="B173" s="9">
        <v>68.569999999999993</v>
      </c>
      <c r="C173" s="9">
        <v>70.58</v>
      </c>
      <c r="D173" s="9">
        <v>67.42</v>
      </c>
      <c r="E173" s="9">
        <v>68.03</v>
      </c>
      <c r="G173" s="15">
        <f t="shared" si="15"/>
        <v>-544.24</v>
      </c>
      <c r="H173" s="15">
        <f t="shared" si="16"/>
        <v>-564.64</v>
      </c>
      <c r="I173" s="15">
        <f t="shared" si="17"/>
        <v>-539.36</v>
      </c>
      <c r="J173" s="15"/>
      <c r="K173" s="15"/>
    </row>
    <row r="174" spans="1:11" x14ac:dyDescent="0.4">
      <c r="A174" s="56">
        <v>41213</v>
      </c>
      <c r="B174" s="9">
        <v>64.95</v>
      </c>
      <c r="C174" s="9">
        <v>69.8</v>
      </c>
      <c r="D174" s="9">
        <v>64.650000000000006</v>
      </c>
      <c r="E174" s="9">
        <v>68.900000000000006</v>
      </c>
      <c r="G174" s="15">
        <f t="shared" si="15"/>
        <v>-551.20000000000005</v>
      </c>
      <c r="H174" s="15">
        <f t="shared" si="16"/>
        <v>-558.4</v>
      </c>
      <c r="I174" s="15">
        <f t="shared" si="17"/>
        <v>-517.20000000000005</v>
      </c>
      <c r="J174" s="15"/>
      <c r="K174" s="15"/>
    </row>
    <row r="175" spans="1:11" x14ac:dyDescent="0.4">
      <c r="A175" s="56">
        <v>41243</v>
      </c>
      <c r="B175" s="9">
        <v>65.8</v>
      </c>
      <c r="C175" s="9">
        <v>66.209999999999994</v>
      </c>
      <c r="D175" s="9">
        <v>61.31</v>
      </c>
      <c r="E175" s="9">
        <v>65.36</v>
      </c>
      <c r="G175" s="15">
        <f t="shared" si="15"/>
        <v>-522.88</v>
      </c>
      <c r="H175" s="15">
        <f t="shared" si="16"/>
        <v>-529.67999999999995</v>
      </c>
      <c r="I175" s="15">
        <f t="shared" si="17"/>
        <v>-490.48</v>
      </c>
      <c r="J175" s="15"/>
      <c r="K175" s="15"/>
    </row>
    <row r="176" spans="1:11" x14ac:dyDescent="0.4">
      <c r="A176" s="56">
        <v>41274</v>
      </c>
      <c r="B176" s="9">
        <v>65.13</v>
      </c>
      <c r="C176" s="9">
        <v>66.760000000000005</v>
      </c>
      <c r="D176" s="9">
        <v>63.58</v>
      </c>
      <c r="E176" s="9">
        <v>66.31</v>
      </c>
      <c r="F176" s="15"/>
      <c r="G176" s="15">
        <f t="shared" si="15"/>
        <v>-530.48</v>
      </c>
      <c r="H176" s="15">
        <f t="shared" si="16"/>
        <v>-534.08000000000004</v>
      </c>
      <c r="I176" s="15">
        <f t="shared" si="17"/>
        <v>-508.64</v>
      </c>
      <c r="J176" s="15"/>
      <c r="K176" s="15"/>
    </row>
    <row r="177" spans="1:11" x14ac:dyDescent="0.4">
      <c r="A177" s="56">
        <v>41305</v>
      </c>
      <c r="B177" s="9">
        <v>66.87</v>
      </c>
      <c r="C177" s="9">
        <v>67.790000000000006</v>
      </c>
      <c r="D177" s="9">
        <v>66.17</v>
      </c>
      <c r="E177" s="9">
        <v>66.73</v>
      </c>
      <c r="G177" s="15">
        <f t="shared" si="15"/>
        <v>-533.84</v>
      </c>
      <c r="H177" s="15">
        <f t="shared" si="16"/>
        <v>-542.32000000000005</v>
      </c>
      <c r="I177" s="15">
        <f t="shared" si="17"/>
        <v>-529.36</v>
      </c>
      <c r="J177" s="15">
        <f>-MAX(C177:C188)*12*J$1</f>
        <v>-7388.6399999999994</v>
      </c>
      <c r="K177" s="15">
        <f>-MIN(D177:D188)*12*K$1</f>
        <v>-8706.7199999999993</v>
      </c>
    </row>
    <row r="178" spans="1:11" x14ac:dyDescent="0.4">
      <c r="A178" s="56">
        <v>41333</v>
      </c>
      <c r="B178" s="9">
        <v>67.099999999999994</v>
      </c>
      <c r="C178" s="9">
        <v>68.260000000000005</v>
      </c>
      <c r="D178" s="9">
        <v>65.959999999999994</v>
      </c>
      <c r="E178" s="9">
        <v>67.34</v>
      </c>
      <c r="G178" s="15">
        <f t="shared" si="15"/>
        <v>-538.72</v>
      </c>
      <c r="H178" s="15">
        <f t="shared" si="16"/>
        <v>-546.08000000000004</v>
      </c>
      <c r="I178" s="15">
        <f t="shared" si="17"/>
        <v>-527.67999999999995</v>
      </c>
      <c r="J178" s="15"/>
      <c r="K178" s="15"/>
    </row>
    <row r="179" spans="1:11" x14ac:dyDescent="0.4">
      <c r="A179" s="56">
        <v>41364</v>
      </c>
      <c r="B179" s="9">
        <v>68.97</v>
      </c>
      <c r="C179" s="9">
        <v>69.06</v>
      </c>
      <c r="D179" s="9">
        <v>66.540000000000006</v>
      </c>
      <c r="E179" s="9">
        <v>66.87</v>
      </c>
      <c r="G179" s="15">
        <f t="shared" si="15"/>
        <v>-534.96</v>
      </c>
      <c r="H179" s="15">
        <f t="shared" si="16"/>
        <v>-552.48</v>
      </c>
      <c r="I179" s="15">
        <f t="shared" si="17"/>
        <v>-532.32000000000005</v>
      </c>
      <c r="J179" s="15"/>
      <c r="K179" s="15"/>
    </row>
    <row r="180" spans="1:11" x14ac:dyDescent="0.4">
      <c r="A180" s="56">
        <v>41394</v>
      </c>
      <c r="B180" s="9">
        <v>70.72</v>
      </c>
      <c r="C180" s="9">
        <v>70.73</v>
      </c>
      <c r="D180" s="9">
        <v>66.88</v>
      </c>
      <c r="E180" s="9">
        <v>69.02</v>
      </c>
      <c r="G180" s="15">
        <f t="shared" si="15"/>
        <v>-552.16</v>
      </c>
      <c r="H180" s="15">
        <f t="shared" si="16"/>
        <v>-565.84</v>
      </c>
      <c r="I180" s="15">
        <f t="shared" si="17"/>
        <v>-535.04</v>
      </c>
      <c r="J180" s="15"/>
      <c r="K180" s="15"/>
    </row>
    <row r="181" spans="1:11" x14ac:dyDescent="0.4">
      <c r="A181" s="56">
        <v>41425</v>
      </c>
      <c r="B181" s="9">
        <v>73.25</v>
      </c>
      <c r="C181" s="9">
        <v>74.95</v>
      </c>
      <c r="D181" s="9">
        <v>70.25</v>
      </c>
      <c r="E181" s="9">
        <v>70.739999999999995</v>
      </c>
      <c r="G181" s="15">
        <f t="shared" si="15"/>
        <v>-565.91999999999996</v>
      </c>
      <c r="H181" s="15">
        <f t="shared" si="16"/>
        <v>-599.6</v>
      </c>
      <c r="I181" s="15">
        <f t="shared" si="17"/>
        <v>-562</v>
      </c>
      <c r="J181" s="15"/>
      <c r="K181" s="15"/>
    </row>
    <row r="182" spans="1:11" x14ac:dyDescent="0.4">
      <c r="A182" s="56">
        <v>41455</v>
      </c>
      <c r="B182" s="9">
        <v>71.27</v>
      </c>
      <c r="C182" s="9">
        <v>73.819999999999993</v>
      </c>
      <c r="D182" s="9">
        <v>69.150000000000006</v>
      </c>
      <c r="E182" s="9">
        <v>73.260000000000005</v>
      </c>
      <c r="G182" s="15">
        <f t="shared" si="15"/>
        <v>-586.08000000000004</v>
      </c>
      <c r="H182" s="15">
        <f t="shared" si="16"/>
        <v>-590.55999999999995</v>
      </c>
      <c r="I182" s="15">
        <f t="shared" si="17"/>
        <v>-553.20000000000005</v>
      </c>
      <c r="J182" s="15"/>
      <c r="K182" s="15"/>
    </row>
    <row r="183" spans="1:11" x14ac:dyDescent="0.4">
      <c r="A183" s="56">
        <v>41486</v>
      </c>
      <c r="B183" s="9">
        <v>75.77</v>
      </c>
      <c r="C183" s="9">
        <v>76.209999999999994</v>
      </c>
      <c r="D183" s="9">
        <v>71.349999999999994</v>
      </c>
      <c r="E183" s="9">
        <v>71.75</v>
      </c>
      <c r="G183" s="15">
        <f t="shared" si="15"/>
        <v>-574</v>
      </c>
      <c r="H183" s="15">
        <f t="shared" si="16"/>
        <v>-609.67999999999995</v>
      </c>
      <c r="I183" s="15">
        <f t="shared" si="17"/>
        <v>-570.79999999999995</v>
      </c>
      <c r="J183" s="15"/>
      <c r="K183" s="15"/>
    </row>
    <row r="184" spans="1:11" x14ac:dyDescent="0.4">
      <c r="A184" s="56">
        <v>41517</v>
      </c>
      <c r="B184" s="9">
        <v>75.47</v>
      </c>
      <c r="C184" s="9">
        <v>77.28</v>
      </c>
      <c r="D184" s="9">
        <v>74.959999999999994</v>
      </c>
      <c r="E184" s="9">
        <v>76.290000000000006</v>
      </c>
      <c r="G184" s="15">
        <f t="shared" si="15"/>
        <v>-610.32000000000005</v>
      </c>
      <c r="H184" s="15">
        <f t="shared" si="16"/>
        <v>-618.24</v>
      </c>
      <c r="I184" s="15">
        <f t="shared" si="17"/>
        <v>-599.67999999999995</v>
      </c>
      <c r="J184" s="15"/>
      <c r="K184" s="15"/>
    </row>
    <row r="185" spans="1:11" x14ac:dyDescent="0.4">
      <c r="A185" s="56">
        <v>41547</v>
      </c>
      <c r="B185" s="9">
        <v>78.88</v>
      </c>
      <c r="C185" s="9">
        <v>79.680000000000007</v>
      </c>
      <c r="D185" s="9">
        <v>75.540000000000006</v>
      </c>
      <c r="E185" s="9">
        <v>76.09</v>
      </c>
      <c r="G185" s="15">
        <f t="shared" si="15"/>
        <v>-608.72</v>
      </c>
      <c r="H185" s="15">
        <f t="shared" si="16"/>
        <v>-637.44000000000005</v>
      </c>
      <c r="I185" s="15">
        <f t="shared" si="17"/>
        <v>-604.32000000000005</v>
      </c>
      <c r="J185" s="15"/>
      <c r="K185" s="15"/>
    </row>
    <row r="186" spans="1:11" x14ac:dyDescent="0.4">
      <c r="A186" s="56">
        <v>41578</v>
      </c>
      <c r="B186" s="9">
        <v>82.79</v>
      </c>
      <c r="C186" s="9">
        <v>83.49</v>
      </c>
      <c r="D186" s="9">
        <v>76.349999999999994</v>
      </c>
      <c r="E186" s="9">
        <v>78.89</v>
      </c>
      <c r="G186" s="15">
        <f t="shared" si="15"/>
        <v>-631.12</v>
      </c>
      <c r="H186" s="15">
        <f t="shared" si="16"/>
        <v>-667.92</v>
      </c>
      <c r="I186" s="15">
        <f t="shared" si="17"/>
        <v>-610.79999999999995</v>
      </c>
      <c r="J186" s="15"/>
      <c r="K186" s="15"/>
    </row>
    <row r="187" spans="1:11" x14ac:dyDescent="0.4">
      <c r="A187" s="56">
        <v>41608</v>
      </c>
      <c r="B187" s="9">
        <v>85.73</v>
      </c>
      <c r="C187" s="9">
        <v>85.84</v>
      </c>
      <c r="D187" s="9">
        <v>81.37</v>
      </c>
      <c r="E187" s="9">
        <v>83.07</v>
      </c>
      <c r="G187" s="15">
        <f t="shared" si="15"/>
        <v>-664.56</v>
      </c>
      <c r="H187" s="15">
        <f t="shared" si="16"/>
        <v>-686.72</v>
      </c>
      <c r="I187" s="15">
        <f t="shared" si="17"/>
        <v>-650.96</v>
      </c>
      <c r="J187" s="15"/>
      <c r="K187" s="15"/>
    </row>
    <row r="188" spans="1:11" x14ac:dyDescent="0.4">
      <c r="A188" s="56">
        <v>41639</v>
      </c>
      <c r="B188" s="9">
        <v>87.96</v>
      </c>
      <c r="C188" s="9">
        <v>87.96</v>
      </c>
      <c r="D188" s="9">
        <v>84.05</v>
      </c>
      <c r="E188" s="9">
        <v>85.82</v>
      </c>
      <c r="F188" s="15"/>
      <c r="G188" s="15">
        <f t="shared" si="15"/>
        <v>-686.56</v>
      </c>
      <c r="H188" s="15">
        <f t="shared" si="16"/>
        <v>-703.68</v>
      </c>
      <c r="I188" s="15">
        <f t="shared" si="17"/>
        <v>-672.4</v>
      </c>
      <c r="J188" s="15"/>
      <c r="K188" s="15"/>
    </row>
    <row r="189" spans="1:11" x14ac:dyDescent="0.4">
      <c r="A189" s="56">
        <v>41670</v>
      </c>
      <c r="B189" s="9">
        <v>86.27</v>
      </c>
      <c r="C189" s="9">
        <v>89</v>
      </c>
      <c r="D189" s="9">
        <v>84.76</v>
      </c>
      <c r="E189" s="9">
        <v>87.56</v>
      </c>
      <c r="G189" s="15">
        <f t="shared" si="15"/>
        <v>-700.48</v>
      </c>
      <c r="H189" s="15">
        <f t="shared" si="16"/>
        <v>-712</v>
      </c>
      <c r="I189" s="15">
        <f t="shared" si="17"/>
        <v>-678.08</v>
      </c>
      <c r="J189" s="15">
        <f>-MAX(C189:C200)*12*J$1</f>
        <v>-8925</v>
      </c>
      <c r="K189" s="15">
        <f>-MIN(D189:D200)*12*K$1</f>
        <v>-10992.960000000001</v>
      </c>
    </row>
    <row r="190" spans="1:11" x14ac:dyDescent="0.4">
      <c r="A190" s="56">
        <v>41698</v>
      </c>
      <c r="B190" s="9">
        <v>90.34</v>
      </c>
      <c r="C190" s="9">
        <v>90.96</v>
      </c>
      <c r="D190" s="9">
        <v>83.74</v>
      </c>
      <c r="E190" s="9">
        <v>86.11</v>
      </c>
      <c r="G190" s="15">
        <f t="shared" si="15"/>
        <v>-688.88</v>
      </c>
      <c r="H190" s="15">
        <f t="shared" si="16"/>
        <v>-727.68</v>
      </c>
      <c r="I190" s="15">
        <f t="shared" si="17"/>
        <v>-669.92</v>
      </c>
      <c r="J190" s="15"/>
      <c r="K190" s="15"/>
    </row>
    <row r="191" spans="1:11" x14ac:dyDescent="0.4">
      <c r="A191" s="56">
        <v>41729</v>
      </c>
      <c r="B191" s="9">
        <v>87.67</v>
      </c>
      <c r="C191" s="9">
        <v>91.36</v>
      </c>
      <c r="D191" s="9">
        <v>86.4</v>
      </c>
      <c r="E191" s="9">
        <v>89.49</v>
      </c>
      <c r="G191" s="15">
        <f t="shared" si="15"/>
        <v>-715.92</v>
      </c>
      <c r="H191" s="15">
        <f t="shared" si="16"/>
        <v>-730.88</v>
      </c>
      <c r="I191" s="15">
        <f t="shared" si="17"/>
        <v>-691.2</v>
      </c>
      <c r="J191" s="15"/>
      <c r="K191" s="15"/>
    </row>
    <row r="192" spans="1:11" x14ac:dyDescent="0.4">
      <c r="A192" s="56">
        <v>41759</v>
      </c>
      <c r="B192" s="9">
        <v>87.39</v>
      </c>
      <c r="C192" s="9">
        <v>89.68</v>
      </c>
      <c r="D192" s="9">
        <v>83.28</v>
      </c>
      <c r="E192" s="9">
        <v>88.08</v>
      </c>
      <c r="G192" s="15">
        <f t="shared" si="15"/>
        <v>-704.64</v>
      </c>
      <c r="H192" s="15">
        <f t="shared" si="16"/>
        <v>-717.44</v>
      </c>
      <c r="I192" s="15">
        <f t="shared" si="17"/>
        <v>-666.24</v>
      </c>
      <c r="J192" s="15"/>
      <c r="K192" s="15"/>
    </row>
    <row r="193" spans="1:11" x14ac:dyDescent="0.4">
      <c r="A193" s="56">
        <v>41790</v>
      </c>
      <c r="B193" s="9">
        <v>91.31</v>
      </c>
      <c r="C193" s="9">
        <v>91.45</v>
      </c>
      <c r="D193" s="9">
        <v>85.53</v>
      </c>
      <c r="E193" s="9">
        <v>87.53</v>
      </c>
      <c r="G193" s="15">
        <f t="shared" si="15"/>
        <v>-700.24</v>
      </c>
      <c r="H193" s="15">
        <f t="shared" si="16"/>
        <v>-731.6</v>
      </c>
      <c r="I193" s="15">
        <f t="shared" si="17"/>
        <v>-684.24</v>
      </c>
      <c r="J193" s="15"/>
      <c r="K193" s="15"/>
    </row>
    <row r="194" spans="1:11" x14ac:dyDescent="0.4">
      <c r="A194" s="56">
        <v>41820</v>
      </c>
      <c r="B194" s="9">
        <v>93.91</v>
      </c>
      <c r="C194" s="9">
        <v>94.14</v>
      </c>
      <c r="D194" s="9">
        <v>90.64</v>
      </c>
      <c r="E194" s="9">
        <v>91.42</v>
      </c>
      <c r="G194" s="15">
        <f t="shared" si="15"/>
        <v>-731.36</v>
      </c>
      <c r="H194" s="15">
        <f t="shared" si="16"/>
        <v>-753.12</v>
      </c>
      <c r="I194" s="15">
        <f t="shared" si="17"/>
        <v>-725.12</v>
      </c>
      <c r="J194" s="15"/>
      <c r="K194" s="15"/>
    </row>
    <row r="195" spans="1:11" x14ac:dyDescent="0.4">
      <c r="A195" s="56">
        <v>41851</v>
      </c>
      <c r="B195" s="9">
        <v>95.02</v>
      </c>
      <c r="C195" s="9">
        <v>97.51</v>
      </c>
      <c r="D195" s="9">
        <v>93.63</v>
      </c>
      <c r="E195" s="9">
        <v>94.24</v>
      </c>
      <c r="G195" s="15">
        <f t="shared" si="15"/>
        <v>-753.92</v>
      </c>
      <c r="H195" s="15">
        <f t="shared" si="16"/>
        <v>-780.08</v>
      </c>
      <c r="I195" s="15">
        <f t="shared" si="17"/>
        <v>-749.04</v>
      </c>
      <c r="J195" s="15"/>
      <c r="K195" s="15"/>
    </row>
    <row r="196" spans="1:11" x14ac:dyDescent="0.4">
      <c r="A196" s="56">
        <v>41882</v>
      </c>
      <c r="B196" s="9">
        <v>99.78</v>
      </c>
      <c r="C196" s="9">
        <v>99.91</v>
      </c>
      <c r="D196" s="9">
        <v>93.89</v>
      </c>
      <c r="E196" s="9">
        <v>94.82</v>
      </c>
      <c r="G196" s="15">
        <f t="shared" si="15"/>
        <v>-758.56</v>
      </c>
      <c r="H196" s="15">
        <f t="shared" si="16"/>
        <v>-799.28</v>
      </c>
      <c r="I196" s="15">
        <f t="shared" si="17"/>
        <v>-751.12</v>
      </c>
      <c r="J196" s="15"/>
      <c r="K196" s="15"/>
    </row>
    <row r="197" spans="1:11" x14ac:dyDescent="0.4">
      <c r="A197" s="56">
        <v>41912</v>
      </c>
      <c r="B197" s="9">
        <v>98.79</v>
      </c>
      <c r="C197" s="9">
        <v>100.56</v>
      </c>
      <c r="D197" s="9">
        <v>97.7</v>
      </c>
      <c r="E197" s="9">
        <v>100.02</v>
      </c>
      <c r="G197" s="15">
        <f t="shared" si="15"/>
        <v>-800.16</v>
      </c>
      <c r="H197" s="15">
        <f t="shared" si="16"/>
        <v>-804.48</v>
      </c>
      <c r="I197" s="15">
        <f t="shared" si="17"/>
        <v>-781.6</v>
      </c>
      <c r="J197" s="15"/>
      <c r="K197" s="15"/>
    </row>
    <row r="198" spans="1:11" x14ac:dyDescent="0.4">
      <c r="A198" s="56">
        <v>41943</v>
      </c>
      <c r="B198" s="9">
        <v>101.4</v>
      </c>
      <c r="C198" s="9">
        <v>101.75</v>
      </c>
      <c r="D198" s="9">
        <v>90.24</v>
      </c>
      <c r="E198" s="9">
        <v>98.54</v>
      </c>
      <c r="G198" s="15">
        <f t="shared" si="15"/>
        <v>-788.32</v>
      </c>
      <c r="H198" s="15">
        <f t="shared" si="16"/>
        <v>-814</v>
      </c>
      <c r="I198" s="15">
        <f t="shared" si="17"/>
        <v>-721.92</v>
      </c>
      <c r="J198" s="15"/>
      <c r="K198" s="15"/>
    </row>
    <row r="199" spans="1:11" x14ac:dyDescent="0.4">
      <c r="A199" s="56">
        <v>41973</v>
      </c>
      <c r="B199" s="9">
        <v>106.01</v>
      </c>
      <c r="C199" s="9">
        <v>106.25</v>
      </c>
      <c r="D199" s="9">
        <v>100.67</v>
      </c>
      <c r="E199" s="9">
        <v>101.53</v>
      </c>
      <c r="G199" s="15">
        <f t="shared" si="15"/>
        <v>-812.24</v>
      </c>
      <c r="H199" s="15">
        <f t="shared" si="16"/>
        <v>-850</v>
      </c>
      <c r="I199" s="15">
        <f t="shared" si="17"/>
        <v>-805.36</v>
      </c>
      <c r="J199" s="15"/>
      <c r="K199" s="15"/>
    </row>
    <row r="200" spans="1:11" x14ac:dyDescent="0.4">
      <c r="A200" s="56">
        <v>42004</v>
      </c>
      <c r="B200" s="9">
        <v>103.25</v>
      </c>
      <c r="C200" s="9">
        <v>105.92</v>
      </c>
      <c r="D200" s="9">
        <v>99.92</v>
      </c>
      <c r="E200" s="9">
        <v>105.72</v>
      </c>
      <c r="F200" s="15"/>
      <c r="G200" s="15">
        <f t="shared" si="15"/>
        <v>-845.76</v>
      </c>
      <c r="H200" s="15">
        <f t="shared" si="16"/>
        <v>-847.36</v>
      </c>
      <c r="I200" s="15">
        <f t="shared" si="17"/>
        <v>-799.36</v>
      </c>
      <c r="J200" s="15"/>
      <c r="K200" s="15"/>
    </row>
    <row r="201" spans="1:11" x14ac:dyDescent="0.4">
      <c r="A201" s="56">
        <v>42035</v>
      </c>
      <c r="B201" s="9">
        <v>101.1</v>
      </c>
      <c r="C201" s="9">
        <v>104.58</v>
      </c>
      <c r="D201" s="9">
        <v>99.36</v>
      </c>
      <c r="E201" s="9">
        <v>103.76</v>
      </c>
      <c r="G201" s="15">
        <f t="shared" si="15"/>
        <v>-830.08</v>
      </c>
      <c r="H201" s="15">
        <f t="shared" si="16"/>
        <v>-836.64</v>
      </c>
      <c r="I201" s="15">
        <f t="shared" si="17"/>
        <v>-794.88</v>
      </c>
      <c r="J201" s="15">
        <f>-MAX(C201:C212)*12*J$1</f>
        <v>-9723</v>
      </c>
      <c r="K201" s="15">
        <f>-MIN(D201:D212)*12*K$1</f>
        <v>-11185.679999999998</v>
      </c>
    </row>
    <row r="202" spans="1:11" x14ac:dyDescent="0.4">
      <c r="A202" s="56">
        <v>42063</v>
      </c>
      <c r="B202" s="9">
        <v>108.4</v>
      </c>
      <c r="C202" s="9">
        <v>108.94</v>
      </c>
      <c r="D202" s="9">
        <v>99.75</v>
      </c>
      <c r="E202" s="9">
        <v>101.33</v>
      </c>
      <c r="G202" s="15">
        <f t="shared" si="15"/>
        <v>-810.64</v>
      </c>
      <c r="H202" s="15">
        <f t="shared" si="16"/>
        <v>-871.52</v>
      </c>
      <c r="I202" s="15">
        <f t="shared" si="17"/>
        <v>-798</v>
      </c>
      <c r="J202" s="15"/>
      <c r="K202" s="15"/>
    </row>
    <row r="203" spans="1:11" x14ac:dyDescent="0.4">
      <c r="A203" s="56">
        <v>42094</v>
      </c>
      <c r="B203" s="9">
        <v>105.6</v>
      </c>
      <c r="C203" s="9">
        <v>109.42</v>
      </c>
      <c r="D203" s="9">
        <v>104.24</v>
      </c>
      <c r="E203" s="9">
        <v>108.61</v>
      </c>
      <c r="G203" s="15">
        <f t="shared" ref="G203:G266" si="18">-E203*G$1</f>
        <v>-868.88</v>
      </c>
      <c r="H203" s="15">
        <f t="shared" ref="H203:H266" si="19">-C203*H$1</f>
        <v>-875.36</v>
      </c>
      <c r="I203" s="15">
        <f t="shared" ref="I203:I266" si="20">-D203*I$1</f>
        <v>-833.92</v>
      </c>
      <c r="J203" s="15"/>
      <c r="K203" s="15"/>
    </row>
    <row r="204" spans="1:11" x14ac:dyDescent="0.4">
      <c r="A204" s="56">
        <v>42124</v>
      </c>
      <c r="B204" s="9">
        <v>107.63</v>
      </c>
      <c r="C204" s="9">
        <v>111.16</v>
      </c>
      <c r="D204" s="9">
        <v>104.34</v>
      </c>
      <c r="E204" s="9">
        <v>105.6</v>
      </c>
      <c r="G204" s="15">
        <f t="shared" si="18"/>
        <v>-844.8</v>
      </c>
      <c r="H204" s="15">
        <f t="shared" si="19"/>
        <v>-889.28</v>
      </c>
      <c r="I204" s="15">
        <f t="shared" si="20"/>
        <v>-834.72</v>
      </c>
      <c r="J204" s="15"/>
      <c r="K204" s="15"/>
    </row>
    <row r="205" spans="1:11" x14ac:dyDescent="0.4">
      <c r="A205" s="56">
        <v>42155</v>
      </c>
      <c r="B205" s="9">
        <v>110.05</v>
      </c>
      <c r="C205" s="9">
        <v>111.08</v>
      </c>
      <c r="D205" s="9">
        <v>106</v>
      </c>
      <c r="E205" s="9">
        <v>108.05</v>
      </c>
      <c r="G205" s="15">
        <f t="shared" si="18"/>
        <v>-864.4</v>
      </c>
      <c r="H205" s="15">
        <f t="shared" si="19"/>
        <v>-888.64</v>
      </c>
      <c r="I205" s="15">
        <f t="shared" si="20"/>
        <v>-848</v>
      </c>
      <c r="J205" s="15"/>
      <c r="K205" s="15"/>
    </row>
    <row r="206" spans="1:11" x14ac:dyDescent="0.4">
      <c r="A206" s="56">
        <v>42185</v>
      </c>
      <c r="B206" s="9">
        <v>107.07</v>
      </c>
      <c r="C206" s="9">
        <v>111.13</v>
      </c>
      <c r="D206" s="9">
        <v>106.64</v>
      </c>
      <c r="E206" s="9">
        <v>110.64</v>
      </c>
      <c r="G206" s="15">
        <f t="shared" si="18"/>
        <v>-885.12</v>
      </c>
      <c r="H206" s="15">
        <f t="shared" si="19"/>
        <v>-889.04</v>
      </c>
      <c r="I206" s="15">
        <f t="shared" si="20"/>
        <v>-853.12</v>
      </c>
      <c r="J206" s="15"/>
      <c r="K206" s="15"/>
    </row>
    <row r="207" spans="1:11" x14ac:dyDescent="0.4">
      <c r="A207" s="56">
        <v>42216</v>
      </c>
      <c r="B207" s="9">
        <v>111.95</v>
      </c>
      <c r="C207" s="9">
        <v>114.39</v>
      </c>
      <c r="D207" s="9">
        <v>105.83</v>
      </c>
      <c r="E207" s="9">
        <v>108.13</v>
      </c>
      <c r="G207" s="15">
        <f t="shared" si="18"/>
        <v>-865.04</v>
      </c>
      <c r="H207" s="15">
        <f t="shared" si="19"/>
        <v>-915.12</v>
      </c>
      <c r="I207" s="15">
        <f t="shared" si="20"/>
        <v>-846.64</v>
      </c>
      <c r="J207" s="15"/>
      <c r="K207" s="15"/>
    </row>
    <row r="208" spans="1:11" x14ac:dyDescent="0.4">
      <c r="A208" s="56">
        <v>42247</v>
      </c>
      <c r="B208" s="9">
        <v>104.31</v>
      </c>
      <c r="C208" s="9">
        <v>113</v>
      </c>
      <c r="D208" s="9">
        <v>84.74</v>
      </c>
      <c r="E208" s="9">
        <v>111.97</v>
      </c>
      <c r="G208" s="15">
        <f t="shared" si="18"/>
        <v>-895.76</v>
      </c>
      <c r="H208" s="15">
        <f t="shared" si="19"/>
        <v>-904</v>
      </c>
      <c r="I208" s="15">
        <f t="shared" si="20"/>
        <v>-677.92</v>
      </c>
      <c r="J208" s="15"/>
      <c r="K208" s="15"/>
    </row>
    <row r="209" spans="1:11" x14ac:dyDescent="0.4">
      <c r="A209" s="56">
        <v>42277</v>
      </c>
      <c r="B209" s="9">
        <v>101.76</v>
      </c>
      <c r="C209" s="9">
        <v>108.73</v>
      </c>
      <c r="D209" s="9">
        <v>98.75</v>
      </c>
      <c r="E209" s="9">
        <v>101.71</v>
      </c>
      <c r="G209" s="15">
        <f t="shared" si="18"/>
        <v>-813.68</v>
      </c>
      <c r="H209" s="15">
        <f t="shared" si="19"/>
        <v>-869.84</v>
      </c>
      <c r="I209" s="15">
        <f t="shared" si="20"/>
        <v>-790</v>
      </c>
      <c r="J209" s="15"/>
      <c r="K209" s="15"/>
    </row>
    <row r="210" spans="1:11" x14ac:dyDescent="0.4">
      <c r="A210" s="56">
        <v>42308</v>
      </c>
      <c r="B210" s="9">
        <v>113.33</v>
      </c>
      <c r="C210" s="9">
        <v>114.08</v>
      </c>
      <c r="D210" s="9">
        <v>100.48</v>
      </c>
      <c r="E210" s="9">
        <v>101.94</v>
      </c>
      <c r="G210" s="15">
        <f t="shared" si="18"/>
        <v>-815.52</v>
      </c>
      <c r="H210" s="15">
        <f t="shared" si="19"/>
        <v>-912.64</v>
      </c>
      <c r="I210" s="15">
        <f t="shared" si="20"/>
        <v>-803.84</v>
      </c>
      <c r="J210" s="15"/>
      <c r="K210" s="15"/>
    </row>
    <row r="211" spans="1:11" x14ac:dyDescent="0.4">
      <c r="A211" s="56">
        <v>42338</v>
      </c>
      <c r="B211" s="9">
        <v>114.02</v>
      </c>
      <c r="C211" s="9">
        <v>115.47</v>
      </c>
      <c r="D211" s="9">
        <v>109.48</v>
      </c>
      <c r="E211" s="9">
        <v>113.63</v>
      </c>
      <c r="G211" s="15">
        <f t="shared" si="18"/>
        <v>-909.04</v>
      </c>
      <c r="H211" s="15">
        <f t="shared" si="19"/>
        <v>-923.76</v>
      </c>
      <c r="I211" s="15">
        <f t="shared" si="20"/>
        <v>-875.84</v>
      </c>
      <c r="J211" s="15"/>
      <c r="K211" s="15"/>
    </row>
    <row r="212" spans="1:11" x14ac:dyDescent="0.4">
      <c r="A212" s="56">
        <v>42369</v>
      </c>
      <c r="B212" s="9">
        <v>111.86</v>
      </c>
      <c r="C212" s="9">
        <v>115.75</v>
      </c>
      <c r="D212" s="9">
        <v>109.38</v>
      </c>
      <c r="E212" s="9">
        <v>114.48</v>
      </c>
      <c r="F212" s="15"/>
      <c r="G212" s="15">
        <f t="shared" si="18"/>
        <v>-915.84</v>
      </c>
      <c r="H212" s="15">
        <f t="shared" si="19"/>
        <v>-926</v>
      </c>
      <c r="I212" s="15">
        <f t="shared" si="20"/>
        <v>-875.04</v>
      </c>
      <c r="J212" s="15"/>
      <c r="K212" s="15"/>
    </row>
    <row r="213" spans="1:11" x14ac:dyDescent="0.4">
      <c r="A213" s="56">
        <v>42400</v>
      </c>
      <c r="B213" s="9">
        <v>104.13</v>
      </c>
      <c r="C213" s="9">
        <v>110.18</v>
      </c>
      <c r="D213" s="9">
        <v>97.25</v>
      </c>
      <c r="E213" s="9">
        <v>109.43</v>
      </c>
      <c r="G213" s="15">
        <f t="shared" si="18"/>
        <v>-875.44</v>
      </c>
      <c r="H213" s="15">
        <f t="shared" si="19"/>
        <v>-881.44</v>
      </c>
      <c r="I213" s="15">
        <f t="shared" si="20"/>
        <v>-778</v>
      </c>
      <c r="J213" s="15">
        <f>-MAX(C213:C224)*12*J$1</f>
        <v>-10207.68</v>
      </c>
      <c r="K213" s="15">
        <f>-MIN(D213:D224)*12*K$1</f>
        <v>-12518.88</v>
      </c>
    </row>
    <row r="214" spans="1:11" x14ac:dyDescent="0.4">
      <c r="A214" s="56">
        <v>42429</v>
      </c>
      <c r="B214" s="9">
        <v>102.5</v>
      </c>
      <c r="C214" s="9">
        <v>104.8</v>
      </c>
      <c r="D214" s="9">
        <v>94.84</v>
      </c>
      <c r="E214" s="9">
        <v>103.62</v>
      </c>
      <c r="G214" s="15">
        <f t="shared" si="18"/>
        <v>-828.96</v>
      </c>
      <c r="H214" s="15">
        <f t="shared" si="19"/>
        <v>-838.4</v>
      </c>
      <c r="I214" s="15">
        <f t="shared" si="20"/>
        <v>-758.72</v>
      </c>
      <c r="J214" s="15"/>
      <c r="K214" s="15"/>
    </row>
    <row r="215" spans="1:11" x14ac:dyDescent="0.4">
      <c r="A215" s="56">
        <v>42460</v>
      </c>
      <c r="B215" s="9">
        <v>109.2</v>
      </c>
      <c r="C215" s="9">
        <v>110.04</v>
      </c>
      <c r="D215" s="9">
        <v>103.16</v>
      </c>
      <c r="E215" s="9">
        <v>103.45</v>
      </c>
      <c r="G215" s="15">
        <f t="shared" si="18"/>
        <v>-827.6</v>
      </c>
      <c r="H215" s="15">
        <f t="shared" si="19"/>
        <v>-880.32</v>
      </c>
      <c r="I215" s="15">
        <f t="shared" si="20"/>
        <v>-825.28</v>
      </c>
      <c r="J215" s="15"/>
      <c r="K215" s="15"/>
    </row>
    <row r="216" spans="1:11" x14ac:dyDescent="0.4">
      <c r="A216" s="56">
        <v>42490</v>
      </c>
      <c r="B216" s="9">
        <v>105.72</v>
      </c>
      <c r="C216" s="9">
        <v>111.44</v>
      </c>
      <c r="D216" s="9">
        <v>104.88</v>
      </c>
      <c r="E216" s="9">
        <v>108.58</v>
      </c>
      <c r="G216" s="15">
        <f t="shared" si="18"/>
        <v>-868.64</v>
      </c>
      <c r="H216" s="15">
        <f t="shared" si="19"/>
        <v>-891.52</v>
      </c>
      <c r="I216" s="15">
        <f t="shared" si="20"/>
        <v>-839.04</v>
      </c>
      <c r="J216" s="15"/>
      <c r="K216" s="15"/>
    </row>
    <row r="217" spans="1:11" x14ac:dyDescent="0.4">
      <c r="A217" s="56">
        <v>42521</v>
      </c>
      <c r="B217" s="9">
        <v>110.34</v>
      </c>
      <c r="C217" s="9">
        <v>110.51</v>
      </c>
      <c r="D217" s="9">
        <v>104.4</v>
      </c>
      <c r="E217" s="9">
        <v>105.97</v>
      </c>
      <c r="G217" s="15">
        <f t="shared" si="18"/>
        <v>-847.76</v>
      </c>
      <c r="H217" s="15">
        <f t="shared" si="19"/>
        <v>-884.08</v>
      </c>
      <c r="I217" s="15">
        <f t="shared" si="20"/>
        <v>-835.2</v>
      </c>
      <c r="J217" s="15"/>
      <c r="K217" s="15"/>
    </row>
    <row r="218" spans="1:11" x14ac:dyDescent="0.4">
      <c r="A218" s="56">
        <v>42551</v>
      </c>
      <c r="B218" s="9">
        <v>107.54</v>
      </c>
      <c r="C218" s="9">
        <v>110.75</v>
      </c>
      <c r="D218" s="9">
        <v>101.75</v>
      </c>
      <c r="E218" s="9">
        <v>110</v>
      </c>
      <c r="G218" s="15">
        <f t="shared" si="18"/>
        <v>-880</v>
      </c>
      <c r="H218" s="15">
        <f t="shared" si="19"/>
        <v>-886</v>
      </c>
      <c r="I218" s="15">
        <f t="shared" si="20"/>
        <v>-814</v>
      </c>
      <c r="J218" s="15"/>
      <c r="K218" s="15"/>
    </row>
    <row r="219" spans="1:11" x14ac:dyDescent="0.4">
      <c r="A219" s="56">
        <v>42582</v>
      </c>
      <c r="B219" s="9">
        <v>115.23</v>
      </c>
      <c r="C219" s="9">
        <v>115.54</v>
      </c>
      <c r="D219" s="9">
        <v>106.57</v>
      </c>
      <c r="E219" s="9">
        <v>107.49</v>
      </c>
      <c r="G219" s="15">
        <f t="shared" si="18"/>
        <v>-859.92</v>
      </c>
      <c r="H219" s="15">
        <f t="shared" si="19"/>
        <v>-924.32</v>
      </c>
      <c r="I219" s="15">
        <f t="shared" si="20"/>
        <v>-852.56</v>
      </c>
      <c r="J219" s="15"/>
      <c r="K219" s="15"/>
    </row>
    <row r="220" spans="1:11" x14ac:dyDescent="0.4">
      <c r="A220" s="56">
        <v>42613</v>
      </c>
      <c r="B220" s="9">
        <v>116.44</v>
      </c>
      <c r="C220" s="9">
        <v>118.78</v>
      </c>
      <c r="D220" s="9">
        <v>114.22</v>
      </c>
      <c r="E220" s="9">
        <v>115.31</v>
      </c>
      <c r="G220" s="15">
        <f t="shared" si="18"/>
        <v>-922.48</v>
      </c>
      <c r="H220" s="15">
        <f t="shared" si="19"/>
        <v>-950.24</v>
      </c>
      <c r="I220" s="15">
        <f t="shared" si="20"/>
        <v>-913.76</v>
      </c>
      <c r="J220" s="15"/>
      <c r="K220" s="15"/>
    </row>
    <row r="221" spans="1:11" x14ac:dyDescent="0.4">
      <c r="A221" s="56">
        <v>42643</v>
      </c>
      <c r="B221" s="9">
        <v>118.72</v>
      </c>
      <c r="C221" s="9">
        <v>119.22</v>
      </c>
      <c r="D221" s="9">
        <v>113.63</v>
      </c>
      <c r="E221" s="9">
        <v>116.48</v>
      </c>
      <c r="G221" s="15">
        <f t="shared" si="18"/>
        <v>-931.84</v>
      </c>
      <c r="H221" s="15">
        <f t="shared" si="19"/>
        <v>-953.76</v>
      </c>
      <c r="I221" s="15">
        <f t="shared" si="20"/>
        <v>-909.04</v>
      </c>
      <c r="J221" s="15"/>
      <c r="K221" s="15"/>
    </row>
    <row r="222" spans="1:11" x14ac:dyDescent="0.4">
      <c r="A222" s="56">
        <v>42674</v>
      </c>
      <c r="B222" s="9">
        <v>116.99</v>
      </c>
      <c r="C222" s="9">
        <v>119.66</v>
      </c>
      <c r="D222" s="9">
        <v>115.94</v>
      </c>
      <c r="E222" s="9">
        <v>118.53</v>
      </c>
      <c r="G222" s="15">
        <f t="shared" si="18"/>
        <v>-948.24</v>
      </c>
      <c r="H222" s="15">
        <f t="shared" si="19"/>
        <v>-957.28</v>
      </c>
      <c r="I222" s="15">
        <f t="shared" si="20"/>
        <v>-927.52</v>
      </c>
      <c r="J222" s="15"/>
      <c r="K222" s="15"/>
    </row>
    <row r="223" spans="1:11" x14ac:dyDescent="0.4">
      <c r="A223" s="56">
        <v>42704</v>
      </c>
      <c r="B223" s="9">
        <v>117.5</v>
      </c>
      <c r="C223" s="9">
        <v>119.51</v>
      </c>
      <c r="D223" s="9">
        <v>113.45</v>
      </c>
      <c r="E223" s="9">
        <v>117.19</v>
      </c>
      <c r="G223" s="15">
        <f t="shared" si="18"/>
        <v>-937.52</v>
      </c>
      <c r="H223" s="15">
        <f t="shared" si="19"/>
        <v>-956.08</v>
      </c>
      <c r="I223" s="15">
        <f t="shared" si="20"/>
        <v>-907.6</v>
      </c>
      <c r="J223" s="15"/>
      <c r="K223" s="15"/>
    </row>
    <row r="224" spans="1:11" x14ac:dyDescent="0.4">
      <c r="A224" s="56">
        <v>42735</v>
      </c>
      <c r="B224" s="9">
        <v>118.48</v>
      </c>
      <c r="C224" s="9">
        <v>121.52</v>
      </c>
      <c r="D224" s="9">
        <v>115.22</v>
      </c>
      <c r="E224" s="9">
        <v>117.46</v>
      </c>
      <c r="F224" s="15"/>
      <c r="G224" s="15">
        <f t="shared" si="18"/>
        <v>-939.68</v>
      </c>
      <c r="H224" s="15">
        <f t="shared" si="19"/>
        <v>-972.16</v>
      </c>
      <c r="I224" s="15">
        <f t="shared" si="20"/>
        <v>-921.76</v>
      </c>
      <c r="J224" s="15"/>
      <c r="K224" s="15"/>
    </row>
    <row r="225" spans="1:11" x14ac:dyDescent="0.4">
      <c r="A225" s="56">
        <v>42766</v>
      </c>
      <c r="B225" s="9">
        <v>124.57</v>
      </c>
      <c r="C225" s="9">
        <v>125.92</v>
      </c>
      <c r="D225" s="9">
        <v>118.89</v>
      </c>
      <c r="E225" s="9">
        <v>119.31</v>
      </c>
      <c r="G225" s="15">
        <f t="shared" si="18"/>
        <v>-954.48</v>
      </c>
      <c r="H225" s="15">
        <f t="shared" si="19"/>
        <v>-1007.36</v>
      </c>
      <c r="I225" s="15">
        <f t="shared" si="20"/>
        <v>-951.12</v>
      </c>
      <c r="J225" s="15">
        <f>-MAX(C225:C236)*12*J$1</f>
        <v>-13336.680000000002</v>
      </c>
      <c r="K225" s="15">
        <f>-MIN(D225:D236)*12*K$1</f>
        <v>-15693.480000000001</v>
      </c>
    </row>
    <row r="226" spans="1:11" x14ac:dyDescent="0.4">
      <c r="A226" s="56">
        <v>42794</v>
      </c>
      <c r="B226" s="9">
        <v>130.02000000000001</v>
      </c>
      <c r="C226" s="9">
        <v>130.69999999999999</v>
      </c>
      <c r="D226" s="9">
        <v>124.86</v>
      </c>
      <c r="E226" s="9">
        <v>125.42</v>
      </c>
      <c r="G226" s="15">
        <f t="shared" si="18"/>
        <v>-1003.36</v>
      </c>
      <c r="H226" s="15">
        <f t="shared" si="19"/>
        <v>-1045.5999999999999</v>
      </c>
      <c r="I226" s="15">
        <f t="shared" si="20"/>
        <v>-998.88</v>
      </c>
      <c r="J226" s="15"/>
      <c r="K226" s="15"/>
    </row>
    <row r="227" spans="1:11" x14ac:dyDescent="0.4">
      <c r="A227" s="56">
        <v>42825</v>
      </c>
      <c r="B227" s="9">
        <v>132.38</v>
      </c>
      <c r="C227" s="9">
        <v>132.74</v>
      </c>
      <c r="D227" s="9">
        <v>129.4</v>
      </c>
      <c r="E227" s="9">
        <v>130.81</v>
      </c>
      <c r="G227" s="15">
        <f t="shared" si="18"/>
        <v>-1046.48</v>
      </c>
      <c r="H227" s="15">
        <f t="shared" si="19"/>
        <v>-1061.92</v>
      </c>
      <c r="I227" s="15">
        <f t="shared" si="20"/>
        <v>-1035.2</v>
      </c>
      <c r="J227" s="15"/>
      <c r="K227" s="15"/>
    </row>
    <row r="228" spans="1:11" x14ac:dyDescent="0.4">
      <c r="A228" s="56">
        <v>42855</v>
      </c>
      <c r="B228" s="9">
        <v>135.99</v>
      </c>
      <c r="C228" s="9">
        <v>136.34</v>
      </c>
      <c r="D228" s="9">
        <v>130.38</v>
      </c>
      <c r="E228" s="9">
        <v>132.47999999999999</v>
      </c>
      <c r="G228" s="15">
        <f t="shared" si="18"/>
        <v>-1059.8399999999999</v>
      </c>
      <c r="H228" s="15">
        <f t="shared" si="19"/>
        <v>-1090.72</v>
      </c>
      <c r="I228" s="15">
        <f t="shared" si="20"/>
        <v>-1043.04</v>
      </c>
      <c r="J228" s="15"/>
      <c r="K228" s="15"/>
    </row>
    <row r="229" spans="1:11" x14ac:dyDescent="0.4">
      <c r="A229" s="56">
        <v>42886</v>
      </c>
      <c r="B229" s="9">
        <v>141.29</v>
      </c>
      <c r="C229" s="9">
        <v>141.84</v>
      </c>
      <c r="D229" s="9">
        <v>135.87</v>
      </c>
      <c r="E229" s="9">
        <v>136.46</v>
      </c>
      <c r="G229" s="15">
        <f t="shared" si="18"/>
        <v>-1091.68</v>
      </c>
      <c r="H229" s="15">
        <f t="shared" si="19"/>
        <v>-1134.72</v>
      </c>
      <c r="I229" s="15">
        <f t="shared" si="20"/>
        <v>-1086.96</v>
      </c>
      <c r="J229" s="15"/>
      <c r="K229" s="15"/>
    </row>
    <row r="230" spans="1:11" x14ac:dyDescent="0.4">
      <c r="A230" s="56">
        <v>42916</v>
      </c>
      <c r="B230" s="9">
        <v>137.63999999999999</v>
      </c>
      <c r="C230" s="9">
        <v>143.9</v>
      </c>
      <c r="D230" s="9">
        <v>136.25</v>
      </c>
      <c r="E230" s="9">
        <v>141.57</v>
      </c>
      <c r="G230" s="15">
        <f t="shared" si="18"/>
        <v>-1132.56</v>
      </c>
      <c r="H230" s="15">
        <f t="shared" si="19"/>
        <v>-1151.2</v>
      </c>
      <c r="I230" s="15">
        <f t="shared" si="20"/>
        <v>-1090</v>
      </c>
      <c r="J230" s="15"/>
      <c r="K230" s="15"/>
    </row>
    <row r="231" spans="1:11" x14ac:dyDescent="0.4">
      <c r="A231" s="56">
        <v>42947</v>
      </c>
      <c r="B231" s="9">
        <v>143.22999999999999</v>
      </c>
      <c r="C231" s="9">
        <v>145.96</v>
      </c>
      <c r="D231" s="9">
        <v>135.80000000000001</v>
      </c>
      <c r="E231" s="9">
        <v>138.25</v>
      </c>
      <c r="G231" s="15">
        <f t="shared" si="18"/>
        <v>-1106</v>
      </c>
      <c r="H231" s="15">
        <f t="shared" si="19"/>
        <v>-1167.68</v>
      </c>
      <c r="I231" s="15">
        <f t="shared" si="20"/>
        <v>-1086.4000000000001</v>
      </c>
      <c r="J231" s="15"/>
      <c r="K231" s="15"/>
    </row>
    <row r="232" spans="1:11" x14ac:dyDescent="0.4">
      <c r="A232" s="56">
        <v>42978</v>
      </c>
      <c r="B232" s="9">
        <v>146.19999999999999</v>
      </c>
      <c r="C232" s="9">
        <v>146.21</v>
      </c>
      <c r="D232" s="9">
        <v>140.18</v>
      </c>
      <c r="E232" s="9">
        <v>143.69999999999999</v>
      </c>
      <c r="G232" s="15">
        <f t="shared" si="18"/>
        <v>-1149.5999999999999</v>
      </c>
      <c r="H232" s="15">
        <f t="shared" si="19"/>
        <v>-1169.68</v>
      </c>
      <c r="I232" s="15">
        <f t="shared" si="20"/>
        <v>-1121.44</v>
      </c>
      <c r="J232" s="15"/>
      <c r="K232" s="15"/>
    </row>
    <row r="233" spans="1:11" x14ac:dyDescent="0.4">
      <c r="A233" s="56">
        <v>43008</v>
      </c>
      <c r="B233" s="9">
        <v>145.44999999999999</v>
      </c>
      <c r="C233" s="9">
        <v>146.59</v>
      </c>
      <c r="D233" s="9">
        <v>142.1</v>
      </c>
      <c r="E233" s="9">
        <v>146.36000000000001</v>
      </c>
      <c r="G233" s="15">
        <f t="shared" si="18"/>
        <v>-1170.8800000000001</v>
      </c>
      <c r="H233" s="15">
        <f t="shared" si="19"/>
        <v>-1172.72</v>
      </c>
      <c r="I233" s="15">
        <f t="shared" si="20"/>
        <v>-1136.8</v>
      </c>
      <c r="J233" s="15"/>
      <c r="K233" s="15"/>
    </row>
    <row r="234" spans="1:11" x14ac:dyDescent="0.4">
      <c r="A234" s="56">
        <v>43039</v>
      </c>
      <c r="B234" s="9">
        <v>152.15</v>
      </c>
      <c r="C234" s="9">
        <v>152.37</v>
      </c>
      <c r="D234" s="9">
        <v>144.93</v>
      </c>
      <c r="E234" s="9">
        <v>145.66999999999999</v>
      </c>
      <c r="G234" s="15">
        <f t="shared" si="18"/>
        <v>-1165.3599999999999</v>
      </c>
      <c r="H234" s="15">
        <f t="shared" si="19"/>
        <v>-1218.96</v>
      </c>
      <c r="I234" s="15">
        <f t="shared" si="20"/>
        <v>-1159.44</v>
      </c>
      <c r="J234" s="15"/>
      <c r="K234" s="15"/>
    </row>
    <row r="235" spans="1:11" x14ac:dyDescent="0.4">
      <c r="A235" s="56">
        <v>43069</v>
      </c>
      <c r="B235" s="9">
        <v>155.15</v>
      </c>
      <c r="C235" s="9">
        <v>156.69</v>
      </c>
      <c r="D235" s="9">
        <v>150.77000000000001</v>
      </c>
      <c r="E235" s="9">
        <v>152.75</v>
      </c>
      <c r="G235" s="15">
        <f t="shared" si="18"/>
        <v>-1222</v>
      </c>
      <c r="H235" s="15">
        <f t="shared" si="19"/>
        <v>-1253.52</v>
      </c>
      <c r="I235" s="15">
        <f t="shared" si="20"/>
        <v>-1206.1600000000001</v>
      </c>
      <c r="J235" s="15"/>
      <c r="K235" s="15"/>
    </row>
    <row r="236" spans="1:11" x14ac:dyDescent="0.4">
      <c r="A236" s="56">
        <v>43100</v>
      </c>
      <c r="B236" s="9">
        <v>155.76</v>
      </c>
      <c r="C236" s="9">
        <v>158.77000000000001</v>
      </c>
      <c r="D236" s="9">
        <v>152.06</v>
      </c>
      <c r="E236" s="9">
        <v>154.19</v>
      </c>
      <c r="F236" s="15"/>
      <c r="G236" s="15">
        <f t="shared" si="18"/>
        <v>-1233.52</v>
      </c>
      <c r="H236" s="15">
        <f t="shared" si="19"/>
        <v>-1270.1600000000001</v>
      </c>
      <c r="I236" s="15">
        <f t="shared" si="20"/>
        <v>-1216.48</v>
      </c>
      <c r="J236" s="15"/>
      <c r="K236" s="15"/>
    </row>
    <row r="237" spans="1:11" x14ac:dyDescent="0.4">
      <c r="A237" s="56">
        <v>43131</v>
      </c>
      <c r="B237" s="9">
        <v>169.4</v>
      </c>
      <c r="C237" s="9">
        <v>170.95</v>
      </c>
      <c r="D237" s="9">
        <v>156.16999999999999</v>
      </c>
      <c r="E237" s="9">
        <v>156.5</v>
      </c>
      <c r="G237" s="15">
        <f t="shared" si="18"/>
        <v>-1252</v>
      </c>
      <c r="H237" s="15">
        <f t="shared" si="19"/>
        <v>-1367.6</v>
      </c>
      <c r="I237" s="15">
        <f t="shared" si="20"/>
        <v>-1249.3599999999999</v>
      </c>
      <c r="J237" s="15">
        <f>-MAX(C237:C248)*12*J$1</f>
        <v>-15752.52</v>
      </c>
      <c r="K237" s="15">
        <f>-MIN(D237:D248)*12*K$1</f>
        <v>-18936.72</v>
      </c>
    </row>
    <row r="238" spans="1:11" x14ac:dyDescent="0.4">
      <c r="A238" s="56">
        <v>43159</v>
      </c>
      <c r="B238" s="9">
        <v>167.21</v>
      </c>
      <c r="C238" s="9">
        <v>170.73</v>
      </c>
      <c r="D238" s="9">
        <v>150.13</v>
      </c>
      <c r="E238" s="9">
        <v>168.12</v>
      </c>
      <c r="G238" s="15">
        <f t="shared" si="18"/>
        <v>-1344.96</v>
      </c>
      <c r="H238" s="15">
        <f t="shared" si="19"/>
        <v>-1365.84</v>
      </c>
      <c r="I238" s="15">
        <f t="shared" si="20"/>
        <v>-1201.04</v>
      </c>
      <c r="J238" s="15"/>
      <c r="K238" s="15"/>
    </row>
    <row r="239" spans="1:11" x14ac:dyDescent="0.4">
      <c r="A239" s="56">
        <v>43190</v>
      </c>
      <c r="B239" s="9">
        <v>160.13</v>
      </c>
      <c r="C239" s="9">
        <v>175.21</v>
      </c>
      <c r="D239" s="9">
        <v>156.04</v>
      </c>
      <c r="E239" s="9">
        <v>167.29</v>
      </c>
      <c r="G239" s="15">
        <f t="shared" si="18"/>
        <v>-1338.32</v>
      </c>
      <c r="H239" s="15">
        <f t="shared" si="19"/>
        <v>-1401.68</v>
      </c>
      <c r="I239" s="15">
        <f t="shared" si="20"/>
        <v>-1248.32</v>
      </c>
      <c r="J239" s="15"/>
      <c r="K239" s="15"/>
    </row>
    <row r="240" spans="1:11" x14ac:dyDescent="0.4">
      <c r="A240" s="56">
        <v>43220</v>
      </c>
      <c r="B240" s="9">
        <v>160.94</v>
      </c>
      <c r="C240" s="9">
        <v>167</v>
      </c>
      <c r="D240" s="9">
        <v>153.88</v>
      </c>
      <c r="E240" s="9">
        <v>159</v>
      </c>
      <c r="G240" s="15">
        <f t="shared" si="18"/>
        <v>-1272</v>
      </c>
      <c r="H240" s="15">
        <f t="shared" si="19"/>
        <v>-1336</v>
      </c>
      <c r="I240" s="15">
        <f t="shared" si="20"/>
        <v>-1231.04</v>
      </c>
      <c r="J240" s="15"/>
      <c r="K240" s="15"/>
    </row>
    <row r="241" spans="1:11" x14ac:dyDescent="0.4">
      <c r="A241" s="56">
        <v>43251</v>
      </c>
      <c r="B241" s="9">
        <v>170.07</v>
      </c>
      <c r="C241" s="9">
        <v>171.2</v>
      </c>
      <c r="D241" s="9">
        <v>159.22</v>
      </c>
      <c r="E241" s="9">
        <v>160.52000000000001</v>
      </c>
      <c r="G241" s="15">
        <f t="shared" si="18"/>
        <v>-1284.1600000000001</v>
      </c>
      <c r="H241" s="15">
        <f t="shared" si="19"/>
        <v>-1369.6</v>
      </c>
      <c r="I241" s="15">
        <f t="shared" si="20"/>
        <v>-1273.76</v>
      </c>
      <c r="J241" s="15"/>
      <c r="K241" s="15"/>
    </row>
    <row r="242" spans="1:11" x14ac:dyDescent="0.4">
      <c r="A242" s="56">
        <v>43281</v>
      </c>
      <c r="B242" s="9">
        <v>171.65</v>
      </c>
      <c r="C242" s="9">
        <v>177.98</v>
      </c>
      <c r="D242" s="9">
        <v>169.17</v>
      </c>
      <c r="E242" s="9">
        <v>170.88</v>
      </c>
      <c r="G242" s="15">
        <f t="shared" si="18"/>
        <v>-1367.04</v>
      </c>
      <c r="H242" s="15">
        <f t="shared" si="19"/>
        <v>-1423.84</v>
      </c>
      <c r="I242" s="15">
        <f t="shared" si="20"/>
        <v>-1353.36</v>
      </c>
      <c r="J242" s="15"/>
      <c r="K242" s="15"/>
    </row>
    <row r="243" spans="1:11" x14ac:dyDescent="0.4">
      <c r="A243" s="56">
        <v>43312</v>
      </c>
      <c r="B243" s="9">
        <v>176.45</v>
      </c>
      <c r="C243" s="9">
        <v>182.93</v>
      </c>
      <c r="D243" s="9">
        <v>169.67</v>
      </c>
      <c r="E243" s="9">
        <v>170.04</v>
      </c>
      <c r="G243" s="15">
        <f t="shared" si="18"/>
        <v>-1360.32</v>
      </c>
      <c r="H243" s="15">
        <f t="shared" si="19"/>
        <v>-1463.44</v>
      </c>
      <c r="I243" s="15">
        <f t="shared" si="20"/>
        <v>-1357.36</v>
      </c>
      <c r="J243" s="15"/>
      <c r="K243" s="15"/>
    </row>
    <row r="244" spans="1:11" x14ac:dyDescent="0.4">
      <c r="A244" s="56">
        <v>43343</v>
      </c>
      <c r="B244" s="9">
        <v>186.65</v>
      </c>
      <c r="C244" s="9">
        <v>187.52</v>
      </c>
      <c r="D244" s="9">
        <v>175.79</v>
      </c>
      <c r="E244" s="9">
        <v>176.87</v>
      </c>
      <c r="G244" s="15">
        <f t="shared" si="18"/>
        <v>-1414.96</v>
      </c>
      <c r="H244" s="15">
        <f t="shared" si="19"/>
        <v>-1500.16</v>
      </c>
      <c r="I244" s="15">
        <f t="shared" si="20"/>
        <v>-1406.32</v>
      </c>
      <c r="J244" s="15"/>
      <c r="K244" s="15"/>
    </row>
    <row r="245" spans="1:11" x14ac:dyDescent="0.4">
      <c r="A245" s="56">
        <v>43373</v>
      </c>
      <c r="B245" s="9">
        <v>185.79</v>
      </c>
      <c r="C245" s="9">
        <v>186.49</v>
      </c>
      <c r="D245" s="9">
        <v>180.44</v>
      </c>
      <c r="E245" s="9">
        <v>186.1</v>
      </c>
      <c r="G245" s="15">
        <f t="shared" si="18"/>
        <v>-1488.8</v>
      </c>
      <c r="H245" s="15">
        <f t="shared" si="19"/>
        <v>-1491.92</v>
      </c>
      <c r="I245" s="15">
        <f t="shared" si="20"/>
        <v>-1443.52</v>
      </c>
      <c r="J245" s="15"/>
      <c r="K245" s="15"/>
    </row>
    <row r="246" spans="1:11" x14ac:dyDescent="0.4">
      <c r="A246" s="56">
        <v>43404</v>
      </c>
      <c r="B246" s="9">
        <v>169.82</v>
      </c>
      <c r="C246" s="9">
        <v>187.53</v>
      </c>
      <c r="D246" s="9">
        <v>160.09</v>
      </c>
      <c r="E246" s="9">
        <v>186.82</v>
      </c>
      <c r="G246" s="15">
        <f t="shared" si="18"/>
        <v>-1494.56</v>
      </c>
      <c r="H246" s="15">
        <f t="shared" si="19"/>
        <v>-1500.24</v>
      </c>
      <c r="I246" s="15">
        <f t="shared" si="20"/>
        <v>-1280.72</v>
      </c>
      <c r="J246" s="15"/>
      <c r="K246" s="15"/>
    </row>
    <row r="247" spans="1:11" x14ac:dyDescent="0.4">
      <c r="A247" s="56">
        <v>43434</v>
      </c>
      <c r="B247" s="9">
        <v>169.37</v>
      </c>
      <c r="C247" s="9">
        <v>175.58</v>
      </c>
      <c r="D247" s="9">
        <v>157.13</v>
      </c>
      <c r="E247" s="9">
        <v>170.08</v>
      </c>
      <c r="G247" s="15">
        <f t="shared" si="18"/>
        <v>-1360.64</v>
      </c>
      <c r="H247" s="15">
        <f t="shared" si="19"/>
        <v>-1404.64</v>
      </c>
      <c r="I247" s="15">
        <f t="shared" si="20"/>
        <v>-1257.04</v>
      </c>
      <c r="J247" s="15"/>
      <c r="K247" s="15"/>
    </row>
    <row r="248" spans="1:11" x14ac:dyDescent="0.4">
      <c r="A248" s="56">
        <v>43465</v>
      </c>
      <c r="B248" s="9">
        <v>154.26</v>
      </c>
      <c r="C248" s="9">
        <v>173.31</v>
      </c>
      <c r="D248" s="9">
        <v>143.46</v>
      </c>
      <c r="E248" s="9">
        <v>173.1</v>
      </c>
      <c r="F248" s="15"/>
      <c r="G248" s="15">
        <f t="shared" si="18"/>
        <v>-1384.8</v>
      </c>
      <c r="H248" s="15">
        <f t="shared" si="19"/>
        <v>-1386.48</v>
      </c>
      <c r="I248" s="15">
        <f t="shared" si="20"/>
        <v>-1147.68</v>
      </c>
      <c r="J248" s="15"/>
      <c r="K248" s="15"/>
    </row>
    <row r="249" spans="1:11" x14ac:dyDescent="0.4">
      <c r="A249" s="56">
        <v>43496</v>
      </c>
      <c r="B249" s="9">
        <v>168.16</v>
      </c>
      <c r="C249" s="9">
        <v>168.99</v>
      </c>
      <c r="D249" s="9">
        <v>149.49</v>
      </c>
      <c r="E249" s="9">
        <v>150.99</v>
      </c>
      <c r="G249" s="15">
        <f t="shared" si="18"/>
        <v>-1207.92</v>
      </c>
      <c r="H249" s="15">
        <f t="shared" si="19"/>
        <v>-1351.92</v>
      </c>
      <c r="I249" s="15">
        <f t="shared" si="20"/>
        <v>-1195.92</v>
      </c>
      <c r="J249" s="15">
        <f>-MAX(C249:C260)*12*J$1</f>
        <v>-18023.04</v>
      </c>
      <c r="K249" s="15">
        <f>-MIN(D249:D260)*12*K$1</f>
        <v>-19732.68</v>
      </c>
    </row>
    <row r="250" spans="1:11" x14ac:dyDescent="0.4">
      <c r="A250" s="56">
        <v>43524</v>
      </c>
      <c r="B250" s="9">
        <v>173.19</v>
      </c>
      <c r="C250" s="9">
        <v>174.66</v>
      </c>
      <c r="D250" s="9">
        <v>166.57</v>
      </c>
      <c r="E250" s="9">
        <v>167.37</v>
      </c>
      <c r="G250" s="15">
        <f t="shared" si="18"/>
        <v>-1338.96</v>
      </c>
      <c r="H250" s="15">
        <f t="shared" si="19"/>
        <v>-1397.28</v>
      </c>
      <c r="I250" s="15">
        <f t="shared" si="20"/>
        <v>-1332.56</v>
      </c>
      <c r="J250" s="15"/>
      <c r="K250" s="15"/>
    </row>
    <row r="251" spans="1:11" x14ac:dyDescent="0.4">
      <c r="A251" s="56">
        <v>43555</v>
      </c>
      <c r="B251" s="9">
        <v>179.66</v>
      </c>
      <c r="C251" s="9">
        <v>182.83</v>
      </c>
      <c r="D251" s="9">
        <v>169.34</v>
      </c>
      <c r="E251" s="9">
        <v>174.41</v>
      </c>
      <c r="G251" s="15">
        <f t="shared" si="18"/>
        <v>-1395.28</v>
      </c>
      <c r="H251" s="15">
        <f t="shared" si="19"/>
        <v>-1462.64</v>
      </c>
      <c r="I251" s="15">
        <f t="shared" si="20"/>
        <v>-1354.72</v>
      </c>
      <c r="J251" s="15"/>
      <c r="K251" s="15"/>
    </row>
    <row r="252" spans="1:11" x14ac:dyDescent="0.4">
      <c r="A252" s="56">
        <v>43585</v>
      </c>
      <c r="B252" s="9">
        <v>189.54</v>
      </c>
      <c r="C252" s="9">
        <v>191.32</v>
      </c>
      <c r="D252" s="9">
        <v>180.77</v>
      </c>
      <c r="E252" s="9">
        <v>181.42</v>
      </c>
      <c r="G252" s="15">
        <f t="shared" si="18"/>
        <v>-1451.36</v>
      </c>
      <c r="H252" s="15">
        <f t="shared" si="19"/>
        <v>-1530.56</v>
      </c>
      <c r="I252" s="15">
        <f t="shared" si="20"/>
        <v>-1446.16</v>
      </c>
      <c r="J252" s="15"/>
      <c r="K252" s="15"/>
    </row>
    <row r="253" spans="1:11" x14ac:dyDescent="0.4">
      <c r="A253" s="56">
        <v>43616</v>
      </c>
      <c r="B253" s="9">
        <v>173.95</v>
      </c>
      <c r="C253" s="9">
        <v>191.32</v>
      </c>
      <c r="D253" s="9">
        <v>173.87</v>
      </c>
      <c r="E253" s="9">
        <v>190.76</v>
      </c>
      <c r="G253" s="15">
        <f t="shared" si="18"/>
        <v>-1526.08</v>
      </c>
      <c r="H253" s="15">
        <f t="shared" si="19"/>
        <v>-1530.56</v>
      </c>
      <c r="I253" s="15">
        <f t="shared" si="20"/>
        <v>-1390.96</v>
      </c>
      <c r="J253" s="15"/>
      <c r="K253" s="15"/>
    </row>
    <row r="254" spans="1:11" x14ac:dyDescent="0.4">
      <c r="A254" s="56">
        <v>43646</v>
      </c>
      <c r="B254" s="9">
        <v>186.74</v>
      </c>
      <c r="C254" s="9">
        <v>189.77</v>
      </c>
      <c r="D254" s="9">
        <v>169.27</v>
      </c>
      <c r="E254" s="9">
        <v>173.52</v>
      </c>
      <c r="G254" s="15">
        <f t="shared" si="18"/>
        <v>-1388.16</v>
      </c>
      <c r="H254" s="15">
        <f t="shared" si="19"/>
        <v>-1518.16</v>
      </c>
      <c r="I254" s="15">
        <f t="shared" si="20"/>
        <v>-1354.16</v>
      </c>
      <c r="J254" s="15"/>
      <c r="K254" s="15"/>
    </row>
    <row r="255" spans="1:11" x14ac:dyDescent="0.4">
      <c r="A255" s="56">
        <v>43677</v>
      </c>
      <c r="B255" s="9">
        <v>191.1</v>
      </c>
      <c r="C255" s="9">
        <v>195.55</v>
      </c>
      <c r="D255" s="9">
        <v>188.38</v>
      </c>
      <c r="E255" s="9">
        <v>190.3</v>
      </c>
      <c r="G255" s="15">
        <f t="shared" si="18"/>
        <v>-1522.4</v>
      </c>
      <c r="H255" s="15">
        <f t="shared" si="19"/>
        <v>-1564.4</v>
      </c>
      <c r="I255" s="15">
        <f t="shared" si="20"/>
        <v>-1507.04</v>
      </c>
      <c r="J255" s="15"/>
      <c r="K255" s="15"/>
    </row>
    <row r="256" spans="1:11" x14ac:dyDescent="0.4">
      <c r="A256" s="56">
        <v>43708</v>
      </c>
      <c r="B256" s="9">
        <v>187.47</v>
      </c>
      <c r="C256" s="9">
        <v>194.98</v>
      </c>
      <c r="D256" s="9">
        <v>179.2</v>
      </c>
      <c r="E256" s="9">
        <v>191.51</v>
      </c>
      <c r="G256" s="15">
        <f t="shared" si="18"/>
        <v>-1532.08</v>
      </c>
      <c r="H256" s="15">
        <f t="shared" si="19"/>
        <v>-1559.84</v>
      </c>
      <c r="I256" s="15">
        <f t="shared" si="20"/>
        <v>-1433.6</v>
      </c>
      <c r="J256" s="15"/>
      <c r="K256" s="15"/>
    </row>
    <row r="257" spans="1:11" x14ac:dyDescent="0.4">
      <c r="A257" s="56">
        <v>43738</v>
      </c>
      <c r="B257" s="9">
        <v>188.81</v>
      </c>
      <c r="C257" s="9">
        <v>194.71</v>
      </c>
      <c r="D257" s="9">
        <v>185.03</v>
      </c>
      <c r="E257" s="9">
        <v>186.26</v>
      </c>
      <c r="G257" s="15">
        <f t="shared" si="18"/>
        <v>-1490.08</v>
      </c>
      <c r="H257" s="15">
        <f t="shared" si="19"/>
        <v>-1557.68</v>
      </c>
      <c r="I257" s="15">
        <f t="shared" si="20"/>
        <v>-1480.24</v>
      </c>
      <c r="J257" s="15"/>
      <c r="K257" s="15"/>
    </row>
    <row r="258" spans="1:11" x14ac:dyDescent="0.4">
      <c r="A258" s="56">
        <v>43769</v>
      </c>
      <c r="B258" s="9">
        <v>197.08</v>
      </c>
      <c r="C258" s="9">
        <v>197.83</v>
      </c>
      <c r="D258" s="9">
        <v>181.82</v>
      </c>
      <c r="E258" s="9">
        <v>189.54</v>
      </c>
      <c r="G258" s="15">
        <f t="shared" si="18"/>
        <v>-1516.32</v>
      </c>
      <c r="H258" s="15">
        <f t="shared" si="19"/>
        <v>-1582.64</v>
      </c>
      <c r="I258" s="15">
        <f t="shared" si="20"/>
        <v>-1454.56</v>
      </c>
      <c r="J258" s="15"/>
      <c r="K258" s="15"/>
    </row>
    <row r="259" spans="1:11" x14ac:dyDescent="0.4">
      <c r="A259" s="56">
        <v>43799</v>
      </c>
      <c r="B259" s="9">
        <v>205.1</v>
      </c>
      <c r="C259" s="9">
        <v>206.05</v>
      </c>
      <c r="D259" s="9">
        <v>197.63</v>
      </c>
      <c r="E259" s="9">
        <v>197.93</v>
      </c>
      <c r="G259" s="15">
        <f t="shared" si="18"/>
        <v>-1583.44</v>
      </c>
      <c r="H259" s="15">
        <f t="shared" si="19"/>
        <v>-1648.4</v>
      </c>
      <c r="I259" s="15">
        <f t="shared" si="20"/>
        <v>-1581.04</v>
      </c>
      <c r="J259" s="15"/>
      <c r="K259" s="15"/>
    </row>
    <row r="260" spans="1:11" x14ac:dyDescent="0.4">
      <c r="A260" s="56">
        <v>43830</v>
      </c>
      <c r="B260" s="9">
        <v>212.61</v>
      </c>
      <c r="C260" s="9">
        <v>214.56</v>
      </c>
      <c r="D260" s="9">
        <v>193.79</v>
      </c>
      <c r="E260" s="9">
        <v>205.11</v>
      </c>
      <c r="F260" s="15"/>
      <c r="G260" s="15">
        <f t="shared" si="18"/>
        <v>-1640.88</v>
      </c>
      <c r="H260" s="15">
        <f t="shared" si="19"/>
        <v>-1716.48</v>
      </c>
      <c r="I260" s="15">
        <f t="shared" si="20"/>
        <v>-1550.32</v>
      </c>
      <c r="J260" s="15"/>
      <c r="K260" s="15"/>
    </row>
    <row r="261" spans="1:11" x14ac:dyDescent="0.4">
      <c r="A261" s="56">
        <v>43861</v>
      </c>
      <c r="B261" s="9">
        <v>219.07</v>
      </c>
      <c r="C261" s="9">
        <v>225.88</v>
      </c>
      <c r="D261" s="9">
        <v>212.24</v>
      </c>
      <c r="E261" s="9">
        <v>214.4</v>
      </c>
      <c r="G261" s="15">
        <f t="shared" si="18"/>
        <v>-1715.2</v>
      </c>
      <c r="H261" s="15">
        <f t="shared" si="19"/>
        <v>-1807.04</v>
      </c>
      <c r="I261" s="15">
        <f t="shared" si="20"/>
        <v>-1697.92</v>
      </c>
      <c r="J261" s="15">
        <f>-MAX(C261:C272)*12*J$1</f>
        <v>-26433.96</v>
      </c>
      <c r="K261" s="15">
        <f>-MIN(D261:D272)*12*K$1</f>
        <v>-21770.760000000002</v>
      </c>
    </row>
    <row r="262" spans="1:11" x14ac:dyDescent="0.4">
      <c r="A262" s="56">
        <v>43890</v>
      </c>
      <c r="B262" s="9">
        <v>205.8</v>
      </c>
      <c r="C262" s="9">
        <v>237.47</v>
      </c>
      <c r="D262" s="9">
        <v>198.17</v>
      </c>
      <c r="E262" s="9">
        <v>220.14</v>
      </c>
      <c r="G262" s="15">
        <f t="shared" si="18"/>
        <v>-1761.12</v>
      </c>
      <c r="H262" s="15">
        <f t="shared" si="19"/>
        <v>-1899.76</v>
      </c>
      <c r="I262" s="15">
        <f t="shared" si="20"/>
        <v>-1585.36</v>
      </c>
      <c r="J262" s="15"/>
      <c r="K262" s="15"/>
    </row>
    <row r="263" spans="1:11" x14ac:dyDescent="0.4">
      <c r="A263" s="56">
        <v>43921</v>
      </c>
      <c r="B263" s="9">
        <v>190.4</v>
      </c>
      <c r="C263" s="9">
        <v>219.61</v>
      </c>
      <c r="D263" s="9">
        <v>164.93</v>
      </c>
      <c r="E263" s="9">
        <v>208.88</v>
      </c>
      <c r="G263" s="15">
        <f t="shared" si="18"/>
        <v>-1671.04</v>
      </c>
      <c r="H263" s="15">
        <f t="shared" si="19"/>
        <v>-1756.88</v>
      </c>
      <c r="I263" s="15">
        <f t="shared" si="20"/>
        <v>-1319.44</v>
      </c>
      <c r="J263" s="15"/>
      <c r="K263" s="15"/>
    </row>
    <row r="264" spans="1:11" x14ac:dyDescent="0.4">
      <c r="A264" s="56">
        <v>43951</v>
      </c>
      <c r="B264" s="9">
        <v>218.91</v>
      </c>
      <c r="C264" s="9">
        <v>220.04</v>
      </c>
      <c r="D264" s="9">
        <v>180.86</v>
      </c>
      <c r="E264" s="9">
        <v>184.81</v>
      </c>
      <c r="G264" s="15">
        <f t="shared" si="18"/>
        <v>-1478.48</v>
      </c>
      <c r="H264" s="15">
        <f t="shared" si="19"/>
        <v>-1760.32</v>
      </c>
      <c r="I264" s="15">
        <f t="shared" si="20"/>
        <v>-1446.88</v>
      </c>
      <c r="J264" s="15"/>
      <c r="K264" s="15"/>
    </row>
    <row r="265" spans="1:11" x14ac:dyDescent="0.4">
      <c r="A265" s="56">
        <v>43982</v>
      </c>
      <c r="B265" s="9">
        <v>233.36</v>
      </c>
      <c r="C265" s="9">
        <v>233.6</v>
      </c>
      <c r="D265" s="9">
        <v>211.12</v>
      </c>
      <c r="E265" s="9">
        <v>214.54</v>
      </c>
      <c r="G265" s="15">
        <f t="shared" si="18"/>
        <v>-1716.32</v>
      </c>
      <c r="H265" s="15">
        <f t="shared" si="19"/>
        <v>-1868.8</v>
      </c>
      <c r="I265" s="15">
        <f t="shared" si="20"/>
        <v>-1688.96</v>
      </c>
      <c r="J265" s="15"/>
      <c r="K265" s="15"/>
    </row>
    <row r="266" spans="1:11" x14ac:dyDescent="0.4">
      <c r="A266" s="56">
        <v>44012</v>
      </c>
      <c r="B266" s="9">
        <v>247.6</v>
      </c>
      <c r="C266" s="9">
        <v>251.15</v>
      </c>
      <c r="D266" s="9">
        <v>231.47</v>
      </c>
      <c r="E266" s="9">
        <v>232.4</v>
      </c>
      <c r="G266" s="15">
        <f t="shared" si="18"/>
        <v>-1859.2</v>
      </c>
      <c r="H266" s="15">
        <f t="shared" si="19"/>
        <v>-2009.2</v>
      </c>
      <c r="I266" s="15">
        <f t="shared" si="20"/>
        <v>-1851.76</v>
      </c>
      <c r="J266" s="15"/>
      <c r="K266" s="15"/>
    </row>
    <row r="267" spans="1:11" x14ac:dyDescent="0.4">
      <c r="A267" s="56">
        <v>44043</v>
      </c>
      <c r="B267" s="9">
        <v>265.79000000000002</v>
      </c>
      <c r="C267" s="9">
        <v>269.79000000000002</v>
      </c>
      <c r="D267" s="9">
        <v>247.08</v>
      </c>
      <c r="E267" s="9">
        <v>247.66</v>
      </c>
      <c r="G267" s="15">
        <f t="shared" ref="G267:G314" si="21">-E267*G$1</f>
        <v>-1981.28</v>
      </c>
      <c r="H267" s="15">
        <f t="shared" ref="H267:H314" si="22">-C267*H$1</f>
        <v>-2158.3200000000002</v>
      </c>
      <c r="I267" s="15">
        <f t="shared" ref="I267:I314" si="23">-D267*I$1</f>
        <v>-1976.64</v>
      </c>
      <c r="J267" s="15"/>
      <c r="K267" s="15"/>
    </row>
    <row r="268" spans="1:11" x14ac:dyDescent="0.4">
      <c r="A268" s="56">
        <v>44074</v>
      </c>
      <c r="B268" s="9">
        <v>294.88</v>
      </c>
      <c r="C268" s="9">
        <v>296.75</v>
      </c>
      <c r="D268" s="9">
        <v>264.63</v>
      </c>
      <c r="E268" s="9">
        <v>268.05</v>
      </c>
      <c r="G268" s="15">
        <f t="shared" si="21"/>
        <v>-2144.4</v>
      </c>
      <c r="H268" s="15">
        <f t="shared" si="22"/>
        <v>-2374</v>
      </c>
      <c r="I268" s="15">
        <f t="shared" si="23"/>
        <v>-2117.04</v>
      </c>
      <c r="J268" s="15"/>
      <c r="K268" s="15"/>
    </row>
    <row r="269" spans="1:11" x14ac:dyDescent="0.4">
      <c r="A269" s="56">
        <v>44104</v>
      </c>
      <c r="B269" s="9">
        <v>277.83999999999997</v>
      </c>
      <c r="C269" s="9">
        <v>303.5</v>
      </c>
      <c r="D269" s="9">
        <v>260.11</v>
      </c>
      <c r="E269" s="9">
        <v>297.60000000000002</v>
      </c>
      <c r="G269" s="15">
        <f t="shared" si="21"/>
        <v>-2380.8000000000002</v>
      </c>
      <c r="H269" s="15">
        <f t="shared" si="22"/>
        <v>-2428</v>
      </c>
      <c r="I269" s="15">
        <f t="shared" si="23"/>
        <v>-2080.88</v>
      </c>
      <c r="J269" s="15"/>
      <c r="K269" s="15"/>
    </row>
    <row r="270" spans="1:11" x14ac:dyDescent="0.4">
      <c r="A270" s="56">
        <v>44135</v>
      </c>
      <c r="B270" s="9">
        <v>269.38</v>
      </c>
      <c r="C270" s="9">
        <v>297.45999999999998</v>
      </c>
      <c r="D270" s="9">
        <v>267.07</v>
      </c>
      <c r="E270" s="9">
        <v>281.79000000000002</v>
      </c>
      <c r="G270" s="15">
        <f t="shared" si="21"/>
        <v>-2254.3200000000002</v>
      </c>
      <c r="H270" s="15">
        <f t="shared" si="22"/>
        <v>-2379.6799999999998</v>
      </c>
      <c r="I270" s="15">
        <f t="shared" si="23"/>
        <v>-2136.56</v>
      </c>
      <c r="J270" s="15"/>
      <c r="K270" s="15"/>
    </row>
    <row r="271" spans="1:11" x14ac:dyDescent="0.4">
      <c r="A271" s="56">
        <v>44165</v>
      </c>
      <c r="B271" s="9">
        <v>299.62</v>
      </c>
      <c r="C271" s="9">
        <v>300.17</v>
      </c>
      <c r="D271" s="9">
        <v>266.97000000000003</v>
      </c>
      <c r="E271" s="9">
        <v>271.73</v>
      </c>
      <c r="G271" s="15">
        <f t="shared" si="21"/>
        <v>-2173.84</v>
      </c>
      <c r="H271" s="15">
        <f t="shared" si="22"/>
        <v>-2401.36</v>
      </c>
      <c r="I271" s="15">
        <f t="shared" si="23"/>
        <v>-2135.7600000000002</v>
      </c>
      <c r="J271" s="15"/>
      <c r="K271" s="15"/>
    </row>
    <row r="272" spans="1:11" x14ac:dyDescent="0.4">
      <c r="A272" s="56">
        <v>44196</v>
      </c>
      <c r="B272" s="9">
        <v>313.74</v>
      </c>
      <c r="C272" s="9">
        <v>314.69</v>
      </c>
      <c r="D272" s="9">
        <v>298.08999999999997</v>
      </c>
      <c r="E272" s="9">
        <v>301.87</v>
      </c>
      <c r="F272" s="15"/>
      <c r="G272" s="15">
        <f t="shared" si="21"/>
        <v>-2414.96</v>
      </c>
      <c r="H272" s="15">
        <f t="shared" si="22"/>
        <v>-2517.52</v>
      </c>
      <c r="I272" s="15">
        <f t="shared" si="23"/>
        <v>-2384.7199999999998</v>
      </c>
      <c r="J272" s="15"/>
      <c r="K272" s="15"/>
    </row>
    <row r="273" spans="1:11" x14ac:dyDescent="0.4">
      <c r="A273" s="56">
        <v>44227</v>
      </c>
      <c r="B273" s="9">
        <v>314.56</v>
      </c>
      <c r="C273" s="9">
        <v>330.32</v>
      </c>
      <c r="D273" s="9">
        <v>305.18</v>
      </c>
      <c r="E273" s="9">
        <v>315.11</v>
      </c>
      <c r="G273" s="15">
        <f t="shared" si="21"/>
        <v>-2520.88</v>
      </c>
      <c r="H273" s="15">
        <f t="shared" si="22"/>
        <v>-2642.56</v>
      </c>
      <c r="I273" s="15">
        <f t="shared" si="23"/>
        <v>-2441.44</v>
      </c>
      <c r="J273" s="15">
        <f>-MAX(C273:C284)*12*J$1</f>
        <v>-34331.64</v>
      </c>
      <c r="K273" s="15">
        <f>-MIN(D273:D284)*12*K$1</f>
        <v>-39263.399999999994</v>
      </c>
    </row>
    <row r="274" spans="1:11" x14ac:dyDescent="0.4">
      <c r="A274" s="56">
        <v>44255</v>
      </c>
      <c r="B274" s="9">
        <v>314.14</v>
      </c>
      <c r="C274" s="9">
        <v>338.19</v>
      </c>
      <c r="D274" s="9">
        <v>310.88</v>
      </c>
      <c r="E274" s="9">
        <v>318.11</v>
      </c>
      <c r="G274" s="15">
        <f t="shared" si="21"/>
        <v>-2544.88</v>
      </c>
      <c r="H274" s="15">
        <f t="shared" si="22"/>
        <v>-2705.52</v>
      </c>
      <c r="I274" s="15">
        <f t="shared" si="23"/>
        <v>-2487.04</v>
      </c>
      <c r="J274" s="15"/>
      <c r="K274" s="15"/>
    </row>
    <row r="275" spans="1:11" x14ac:dyDescent="0.4">
      <c r="A275" s="56">
        <v>44286</v>
      </c>
      <c r="B275" s="9">
        <v>319.13</v>
      </c>
      <c r="C275" s="9">
        <v>324.33</v>
      </c>
      <c r="D275" s="9">
        <v>297.45</v>
      </c>
      <c r="E275" s="9">
        <v>319.27</v>
      </c>
      <c r="G275" s="15">
        <f t="shared" si="21"/>
        <v>-2554.16</v>
      </c>
      <c r="H275" s="15">
        <f t="shared" si="22"/>
        <v>-2594.64</v>
      </c>
      <c r="I275" s="15">
        <f t="shared" si="23"/>
        <v>-2379.6</v>
      </c>
      <c r="J275" s="15"/>
      <c r="K275" s="15"/>
    </row>
    <row r="276" spans="1:11" x14ac:dyDescent="0.4">
      <c r="A276" s="56">
        <v>44316</v>
      </c>
      <c r="B276" s="9">
        <v>337.99</v>
      </c>
      <c r="C276" s="9">
        <v>342.8</v>
      </c>
      <c r="D276" s="9">
        <v>322.81</v>
      </c>
      <c r="E276" s="9">
        <v>323.07</v>
      </c>
      <c r="G276" s="15">
        <f t="shared" si="21"/>
        <v>-2584.56</v>
      </c>
      <c r="H276" s="15">
        <f t="shared" si="22"/>
        <v>-2742.4</v>
      </c>
      <c r="I276" s="15">
        <f t="shared" si="23"/>
        <v>-2582.48</v>
      </c>
      <c r="J276" s="15"/>
      <c r="K276" s="15"/>
    </row>
    <row r="277" spans="1:11" x14ac:dyDescent="0.4">
      <c r="A277" s="56">
        <v>44347</v>
      </c>
      <c r="B277" s="9">
        <v>333.93</v>
      </c>
      <c r="C277" s="9">
        <v>340</v>
      </c>
      <c r="D277" s="9">
        <v>316</v>
      </c>
      <c r="E277" s="9">
        <v>339.23</v>
      </c>
      <c r="G277" s="15">
        <f t="shared" si="21"/>
        <v>-2713.84</v>
      </c>
      <c r="H277" s="15">
        <f t="shared" si="22"/>
        <v>-2720</v>
      </c>
      <c r="I277" s="15">
        <f t="shared" si="23"/>
        <v>-2528</v>
      </c>
      <c r="J277" s="15"/>
      <c r="K277" s="15"/>
    </row>
    <row r="278" spans="1:11" x14ac:dyDescent="0.4">
      <c r="A278" s="56">
        <v>44377</v>
      </c>
      <c r="B278" s="9">
        <v>354.43</v>
      </c>
      <c r="C278" s="9">
        <v>355.23</v>
      </c>
      <c r="D278" s="9">
        <v>328.28</v>
      </c>
      <c r="E278" s="9">
        <v>335.3</v>
      </c>
      <c r="G278" s="15">
        <f t="shared" si="21"/>
        <v>-2682.4</v>
      </c>
      <c r="H278" s="15">
        <f t="shared" si="22"/>
        <v>-2841.84</v>
      </c>
      <c r="I278" s="15">
        <f t="shared" si="23"/>
        <v>-2626.24</v>
      </c>
      <c r="J278" s="15"/>
      <c r="K278" s="15"/>
    </row>
    <row r="279" spans="1:11" x14ac:dyDescent="0.4">
      <c r="A279" s="56">
        <v>44408</v>
      </c>
      <c r="B279" s="9">
        <v>364.57</v>
      </c>
      <c r="C279" s="9">
        <v>368.89</v>
      </c>
      <c r="D279" s="9">
        <v>352.04</v>
      </c>
      <c r="E279" s="9">
        <v>354.07</v>
      </c>
      <c r="G279" s="15">
        <f t="shared" si="21"/>
        <v>-2832.56</v>
      </c>
      <c r="H279" s="15">
        <f t="shared" si="22"/>
        <v>-2951.12</v>
      </c>
      <c r="I279" s="15">
        <f t="shared" si="23"/>
        <v>-2816.32</v>
      </c>
      <c r="J279" s="15"/>
      <c r="K279" s="15"/>
    </row>
    <row r="280" spans="1:11" x14ac:dyDescent="0.4">
      <c r="A280" s="56">
        <v>44439</v>
      </c>
      <c r="B280" s="9">
        <v>379.95</v>
      </c>
      <c r="C280" s="9">
        <v>380.76</v>
      </c>
      <c r="D280" s="9">
        <v>359.96</v>
      </c>
      <c r="E280" s="9">
        <v>366.28</v>
      </c>
      <c r="G280" s="15">
        <f t="shared" si="21"/>
        <v>-2930.24</v>
      </c>
      <c r="H280" s="15">
        <f t="shared" si="22"/>
        <v>-3046.08</v>
      </c>
      <c r="I280" s="15">
        <f t="shared" si="23"/>
        <v>-2879.68</v>
      </c>
      <c r="J280" s="15"/>
      <c r="K280" s="15"/>
    </row>
    <row r="281" spans="1:11" x14ac:dyDescent="0.4">
      <c r="A281" s="56">
        <v>44469</v>
      </c>
      <c r="B281" s="9">
        <v>357.96</v>
      </c>
      <c r="C281" s="9">
        <v>382.78</v>
      </c>
      <c r="D281" s="9">
        <v>357.1</v>
      </c>
      <c r="E281" s="9">
        <v>381.04</v>
      </c>
      <c r="G281" s="15">
        <f t="shared" si="21"/>
        <v>-3048.32</v>
      </c>
      <c r="H281" s="15">
        <f t="shared" si="22"/>
        <v>-3062.24</v>
      </c>
      <c r="I281" s="15">
        <f t="shared" si="23"/>
        <v>-2856.8</v>
      </c>
      <c r="J281" s="15"/>
      <c r="K281" s="15"/>
    </row>
    <row r="282" spans="1:11" x14ac:dyDescent="0.4">
      <c r="A282" s="56">
        <v>44500</v>
      </c>
      <c r="B282" s="9">
        <v>386.11</v>
      </c>
      <c r="C282" s="9">
        <v>386.28</v>
      </c>
      <c r="D282" s="9">
        <v>350.32</v>
      </c>
      <c r="E282" s="9">
        <v>358.6</v>
      </c>
      <c r="G282" s="15">
        <f t="shared" si="21"/>
        <v>-2868.8</v>
      </c>
      <c r="H282" s="15">
        <f t="shared" si="22"/>
        <v>-3090.24</v>
      </c>
      <c r="I282" s="15">
        <f t="shared" si="23"/>
        <v>-2802.56</v>
      </c>
      <c r="J282" s="15"/>
      <c r="K282" s="15"/>
    </row>
    <row r="283" spans="1:11" x14ac:dyDescent="0.4">
      <c r="A283" s="56">
        <v>44530</v>
      </c>
      <c r="B283" s="9">
        <v>393.82</v>
      </c>
      <c r="C283" s="9">
        <v>408.71</v>
      </c>
      <c r="D283" s="9">
        <v>384.42</v>
      </c>
      <c r="E283" s="9">
        <v>386.56</v>
      </c>
      <c r="G283" s="15">
        <f t="shared" si="21"/>
        <v>-3092.48</v>
      </c>
      <c r="H283" s="15">
        <f t="shared" si="22"/>
        <v>-3269.68</v>
      </c>
      <c r="I283" s="15">
        <f t="shared" si="23"/>
        <v>-3075.36</v>
      </c>
      <c r="J283" s="15"/>
      <c r="K283" s="15"/>
    </row>
    <row r="284" spans="1:11" x14ac:dyDescent="0.4">
      <c r="A284" s="56">
        <v>44561</v>
      </c>
      <c r="B284" s="9">
        <v>397.85</v>
      </c>
      <c r="C284" s="9">
        <v>404.58</v>
      </c>
      <c r="D284" s="9">
        <v>377.47</v>
      </c>
      <c r="E284" s="9">
        <v>398.28</v>
      </c>
      <c r="F284" s="15"/>
      <c r="G284" s="15">
        <f t="shared" si="21"/>
        <v>-3186.24</v>
      </c>
      <c r="H284" s="15">
        <f t="shared" si="22"/>
        <v>-3236.64</v>
      </c>
      <c r="I284" s="15">
        <f t="shared" si="23"/>
        <v>-3019.76</v>
      </c>
      <c r="J284" s="15"/>
      <c r="K284" s="15"/>
    </row>
    <row r="285" spans="1:11" x14ac:dyDescent="0.4">
      <c r="A285" s="56">
        <v>44592</v>
      </c>
      <c r="B285" s="9">
        <v>363.05</v>
      </c>
      <c r="C285" s="9">
        <v>402.28</v>
      </c>
      <c r="D285" s="9">
        <v>334.15</v>
      </c>
      <c r="E285" s="9">
        <v>399.05</v>
      </c>
      <c r="G285" s="15">
        <f t="shared" si="21"/>
        <v>-3192.4</v>
      </c>
      <c r="H285" s="15">
        <f t="shared" si="22"/>
        <v>-3218.24</v>
      </c>
      <c r="I285" s="15">
        <f t="shared" si="23"/>
        <v>-2673.2</v>
      </c>
      <c r="J285" s="15">
        <f>-MAX(C285:C296)*12*J$1</f>
        <v>-33791.519999999997</v>
      </c>
      <c r="K285" s="15">
        <f>-MIN(D285:D296)*12*K$1</f>
        <v>-33562.32</v>
      </c>
    </row>
    <row r="286" spans="1:11" x14ac:dyDescent="0.4">
      <c r="A286" s="56">
        <v>44620</v>
      </c>
      <c r="B286" s="9">
        <v>346.8</v>
      </c>
      <c r="C286" s="9">
        <v>370.1</v>
      </c>
      <c r="D286" s="9">
        <v>318.26</v>
      </c>
      <c r="E286" s="9">
        <v>364.43</v>
      </c>
      <c r="G286" s="15">
        <f t="shared" si="21"/>
        <v>-2915.44</v>
      </c>
      <c r="H286" s="15">
        <f t="shared" si="22"/>
        <v>-2960.8</v>
      </c>
      <c r="I286" s="15">
        <f t="shared" si="23"/>
        <v>-2546.08</v>
      </c>
      <c r="J286" s="15"/>
      <c r="K286" s="15"/>
    </row>
    <row r="287" spans="1:11" x14ac:dyDescent="0.4">
      <c r="A287" s="56">
        <v>44651</v>
      </c>
      <c r="B287" s="9">
        <v>362.54</v>
      </c>
      <c r="C287" s="9">
        <v>371.83</v>
      </c>
      <c r="D287" s="9">
        <v>317.45</v>
      </c>
      <c r="E287" s="9">
        <v>345.75</v>
      </c>
      <c r="G287" s="15">
        <f t="shared" si="21"/>
        <v>-2766</v>
      </c>
      <c r="H287" s="15">
        <f t="shared" si="22"/>
        <v>-2974.64</v>
      </c>
      <c r="I287" s="15">
        <f t="shared" si="23"/>
        <v>-2539.6</v>
      </c>
      <c r="J287" s="15"/>
      <c r="K287" s="15"/>
    </row>
    <row r="288" spans="1:11" x14ac:dyDescent="0.4">
      <c r="A288" s="56">
        <v>44681</v>
      </c>
      <c r="B288" s="9">
        <v>313.25</v>
      </c>
      <c r="C288" s="9">
        <v>369.31</v>
      </c>
      <c r="D288" s="9">
        <v>312.60000000000002</v>
      </c>
      <c r="E288" s="9">
        <v>362.81</v>
      </c>
      <c r="G288" s="15">
        <f t="shared" si="21"/>
        <v>-2902.48</v>
      </c>
      <c r="H288" s="15">
        <f t="shared" si="22"/>
        <v>-2954.48</v>
      </c>
      <c r="I288" s="15">
        <f t="shared" si="23"/>
        <v>-2500.8000000000002</v>
      </c>
      <c r="J288" s="15"/>
      <c r="K288" s="15"/>
    </row>
    <row r="289" spans="1:11" x14ac:dyDescent="0.4">
      <c r="A289" s="56">
        <v>44712</v>
      </c>
      <c r="B289" s="9">
        <v>308.27999999999997</v>
      </c>
      <c r="C289" s="9">
        <v>330.29</v>
      </c>
      <c r="D289" s="9">
        <v>280.20999999999998</v>
      </c>
      <c r="E289" s="9">
        <v>312.83</v>
      </c>
      <c r="G289" s="15">
        <f t="shared" si="21"/>
        <v>-2502.64</v>
      </c>
      <c r="H289" s="15">
        <f t="shared" si="22"/>
        <v>-2642.32</v>
      </c>
      <c r="I289" s="15">
        <f t="shared" si="23"/>
        <v>-2241.6799999999998</v>
      </c>
      <c r="J289" s="15"/>
      <c r="K289" s="15"/>
    </row>
    <row r="290" spans="1:11" x14ac:dyDescent="0.4">
      <c r="A290" s="56">
        <v>44742</v>
      </c>
      <c r="B290" s="9">
        <v>280.27999999999997</v>
      </c>
      <c r="C290" s="9">
        <v>314.56</v>
      </c>
      <c r="D290" s="9">
        <v>269.27999999999997</v>
      </c>
      <c r="E290" s="9">
        <v>310.47000000000003</v>
      </c>
      <c r="G290" s="15">
        <f t="shared" si="21"/>
        <v>-2483.7600000000002</v>
      </c>
      <c r="H290" s="15">
        <f t="shared" si="22"/>
        <v>-2516.48</v>
      </c>
      <c r="I290" s="15">
        <f t="shared" si="23"/>
        <v>-2154.2399999999998</v>
      </c>
      <c r="J290" s="15"/>
      <c r="K290" s="15"/>
    </row>
    <row r="291" spans="1:11" x14ac:dyDescent="0.4">
      <c r="A291" s="56">
        <v>44773</v>
      </c>
      <c r="B291" s="9">
        <v>315.45999999999998</v>
      </c>
      <c r="C291" s="9">
        <v>316.39</v>
      </c>
      <c r="D291" s="9">
        <v>276.75</v>
      </c>
      <c r="E291" s="9">
        <v>278.95</v>
      </c>
      <c r="G291" s="15">
        <f t="shared" si="21"/>
        <v>-2231.6</v>
      </c>
      <c r="H291" s="15">
        <f t="shared" si="22"/>
        <v>-2531.12</v>
      </c>
      <c r="I291" s="15">
        <f t="shared" si="23"/>
        <v>-2214</v>
      </c>
      <c r="J291" s="15"/>
      <c r="K291" s="15"/>
    </row>
    <row r="292" spans="1:11" x14ac:dyDescent="0.4">
      <c r="A292" s="56">
        <v>44804</v>
      </c>
      <c r="B292" s="9">
        <v>299.27</v>
      </c>
      <c r="C292" s="9">
        <v>334.42</v>
      </c>
      <c r="D292" s="9">
        <v>298.44</v>
      </c>
      <c r="E292" s="9">
        <v>313.64999999999998</v>
      </c>
      <c r="G292" s="15">
        <f t="shared" si="21"/>
        <v>-2509.1999999999998</v>
      </c>
      <c r="H292" s="15">
        <f t="shared" si="22"/>
        <v>-2675.36</v>
      </c>
      <c r="I292" s="15">
        <f t="shared" si="23"/>
        <v>-2387.52</v>
      </c>
      <c r="J292" s="15"/>
      <c r="K292" s="15"/>
    </row>
    <row r="293" spans="1:11" x14ac:dyDescent="0.4">
      <c r="A293" s="56">
        <v>44834</v>
      </c>
      <c r="B293" s="9">
        <v>267.26</v>
      </c>
      <c r="C293" s="9">
        <v>311.08</v>
      </c>
      <c r="D293" s="9">
        <v>267.10000000000002</v>
      </c>
      <c r="E293" s="9">
        <v>296.72000000000003</v>
      </c>
      <c r="G293" s="15">
        <f t="shared" si="21"/>
        <v>-2373.7600000000002</v>
      </c>
      <c r="H293" s="15">
        <f t="shared" si="22"/>
        <v>-2488.64</v>
      </c>
      <c r="I293" s="15">
        <f t="shared" si="23"/>
        <v>-2136.8000000000002</v>
      </c>
      <c r="J293" s="15"/>
      <c r="K293" s="15"/>
    </row>
    <row r="294" spans="1:11" x14ac:dyDescent="0.4">
      <c r="A294" s="56">
        <v>44865</v>
      </c>
      <c r="B294" s="9">
        <v>277.95</v>
      </c>
      <c r="C294" s="9">
        <v>284.60000000000002</v>
      </c>
      <c r="D294" s="9">
        <v>254.26</v>
      </c>
      <c r="E294" s="9">
        <v>269.07</v>
      </c>
      <c r="G294" s="15">
        <f t="shared" si="21"/>
        <v>-2152.56</v>
      </c>
      <c r="H294" s="15">
        <f t="shared" si="22"/>
        <v>-2276.8000000000002</v>
      </c>
      <c r="I294" s="15">
        <f t="shared" si="23"/>
        <v>-2034.08</v>
      </c>
      <c r="J294" s="15"/>
      <c r="K294" s="15"/>
    </row>
    <row r="295" spans="1:11" x14ac:dyDescent="0.4">
      <c r="A295" s="56">
        <v>44895</v>
      </c>
      <c r="B295" s="9">
        <v>293.36</v>
      </c>
      <c r="C295" s="9">
        <v>293.47000000000003</v>
      </c>
      <c r="D295" s="9">
        <v>259.08</v>
      </c>
      <c r="E295" s="9">
        <v>281.5</v>
      </c>
      <c r="G295" s="15">
        <f t="shared" si="21"/>
        <v>-2252</v>
      </c>
      <c r="H295" s="15">
        <f t="shared" si="22"/>
        <v>-2347.7600000000002</v>
      </c>
      <c r="I295" s="15">
        <f t="shared" si="23"/>
        <v>-2072.64</v>
      </c>
      <c r="J295" s="15"/>
      <c r="K295" s="15"/>
    </row>
    <row r="296" spans="1:11" x14ac:dyDescent="0.4">
      <c r="A296" s="56">
        <v>44926</v>
      </c>
      <c r="B296" s="9">
        <v>266.27999999999997</v>
      </c>
      <c r="C296" s="9">
        <v>296.88</v>
      </c>
      <c r="D296" s="9">
        <v>259.73</v>
      </c>
      <c r="E296" s="9">
        <v>293.69</v>
      </c>
      <c r="F296" s="15"/>
      <c r="G296" s="15">
        <f t="shared" si="21"/>
        <v>-2349.52</v>
      </c>
      <c r="H296" s="15">
        <f t="shared" si="22"/>
        <v>-2375.04</v>
      </c>
      <c r="I296" s="15">
        <f t="shared" si="23"/>
        <v>-2077.84</v>
      </c>
      <c r="J296" s="15"/>
      <c r="K296" s="15"/>
    </row>
    <row r="297" spans="1:11" x14ac:dyDescent="0.4">
      <c r="A297" s="56">
        <v>44957</v>
      </c>
      <c r="B297" s="9">
        <v>294.62</v>
      </c>
      <c r="C297" s="9">
        <v>298.26</v>
      </c>
      <c r="D297" s="9">
        <v>260.33999999999997</v>
      </c>
      <c r="E297" s="9">
        <v>268.64999999999998</v>
      </c>
      <c r="G297" s="15">
        <f t="shared" si="21"/>
        <v>-2149.1999999999998</v>
      </c>
      <c r="H297" s="15">
        <f t="shared" si="22"/>
        <v>-2386.08</v>
      </c>
      <c r="I297" s="15">
        <f t="shared" si="23"/>
        <v>-2082.7199999999998</v>
      </c>
      <c r="J297" s="15">
        <f>-MAX(C297:C308)*12*J$1</f>
        <v>-34685.279999999999</v>
      </c>
      <c r="K297" s="15">
        <f>-MIN(D297:D308)*12*K$1</f>
        <v>-34364.879999999997</v>
      </c>
    </row>
    <row r="298" spans="1:11" x14ac:dyDescent="0.4">
      <c r="A298" s="56">
        <v>44985</v>
      </c>
      <c r="B298" s="9">
        <v>293.56</v>
      </c>
      <c r="C298" s="9">
        <v>313.68</v>
      </c>
      <c r="D298" s="9">
        <v>290.05</v>
      </c>
      <c r="E298" s="9">
        <v>294.41000000000003</v>
      </c>
      <c r="G298" s="15">
        <f t="shared" si="21"/>
        <v>-2355.2800000000002</v>
      </c>
      <c r="H298" s="15">
        <f t="shared" si="22"/>
        <v>-2509.44</v>
      </c>
      <c r="I298" s="15">
        <f t="shared" si="23"/>
        <v>-2320.4</v>
      </c>
      <c r="J298" s="15"/>
      <c r="K298" s="15"/>
    </row>
    <row r="299" spans="1:11" x14ac:dyDescent="0.4">
      <c r="A299" s="56">
        <v>45016</v>
      </c>
      <c r="B299" s="9">
        <v>320.93</v>
      </c>
      <c r="C299" s="9">
        <v>321.17</v>
      </c>
      <c r="D299" s="9">
        <v>285.19</v>
      </c>
      <c r="E299" s="9">
        <v>293.26</v>
      </c>
      <c r="G299" s="15">
        <f t="shared" si="21"/>
        <v>-2346.08</v>
      </c>
      <c r="H299" s="15">
        <f t="shared" si="22"/>
        <v>-2569.36</v>
      </c>
      <c r="I299" s="15">
        <f t="shared" si="23"/>
        <v>-2281.52</v>
      </c>
      <c r="J299" s="15"/>
      <c r="K299" s="15"/>
    </row>
    <row r="300" spans="1:11" x14ac:dyDescent="0.4">
      <c r="A300" s="56">
        <v>45046</v>
      </c>
      <c r="B300" s="9">
        <v>322.56</v>
      </c>
      <c r="C300" s="9">
        <v>322.64999999999998</v>
      </c>
      <c r="D300" s="9">
        <v>309.89</v>
      </c>
      <c r="E300" s="9">
        <v>318.77</v>
      </c>
      <c r="G300" s="15">
        <f t="shared" si="21"/>
        <v>-2550.16</v>
      </c>
      <c r="H300" s="15">
        <f t="shared" si="22"/>
        <v>-2581.1999999999998</v>
      </c>
      <c r="I300" s="15">
        <f t="shared" si="23"/>
        <v>-2479.12</v>
      </c>
      <c r="J300" s="15"/>
      <c r="K300" s="15"/>
    </row>
    <row r="301" spans="1:11" x14ac:dyDescent="0.4">
      <c r="A301" s="56">
        <v>45077</v>
      </c>
      <c r="B301" s="9">
        <v>347.99</v>
      </c>
      <c r="C301" s="9">
        <v>353.93</v>
      </c>
      <c r="D301" s="9">
        <v>315.12</v>
      </c>
      <c r="E301" s="9">
        <v>322.08999999999997</v>
      </c>
      <c r="G301" s="15">
        <f t="shared" si="21"/>
        <v>-2576.7199999999998</v>
      </c>
      <c r="H301" s="15">
        <f t="shared" si="22"/>
        <v>-2831.44</v>
      </c>
      <c r="I301" s="15">
        <f t="shared" si="23"/>
        <v>-2520.96</v>
      </c>
      <c r="J301" s="15"/>
      <c r="K301" s="15"/>
    </row>
    <row r="302" spans="1:11" x14ac:dyDescent="0.4">
      <c r="A302" s="56">
        <v>45107</v>
      </c>
      <c r="B302" s="9">
        <v>369.42</v>
      </c>
      <c r="C302" s="9">
        <v>372.85</v>
      </c>
      <c r="D302" s="9">
        <v>346.66</v>
      </c>
      <c r="E302" s="9">
        <v>347.73</v>
      </c>
      <c r="G302" s="15">
        <f t="shared" si="21"/>
        <v>-2781.84</v>
      </c>
      <c r="H302" s="15">
        <f t="shared" si="22"/>
        <v>-2982.8</v>
      </c>
      <c r="I302" s="15">
        <f t="shared" si="23"/>
        <v>-2773.28</v>
      </c>
      <c r="J302" s="15"/>
      <c r="K302" s="15"/>
    </row>
    <row r="303" spans="1:11" x14ac:dyDescent="0.4">
      <c r="A303" s="56">
        <v>45138</v>
      </c>
      <c r="B303" s="9">
        <v>383.68</v>
      </c>
      <c r="C303" s="9">
        <v>387.98</v>
      </c>
      <c r="D303" s="9">
        <v>363.41</v>
      </c>
      <c r="E303" s="9">
        <v>370.07</v>
      </c>
      <c r="G303" s="15">
        <f t="shared" si="21"/>
        <v>-2960.56</v>
      </c>
      <c r="H303" s="15">
        <f t="shared" si="22"/>
        <v>-3103.84</v>
      </c>
      <c r="I303" s="15">
        <f t="shared" si="23"/>
        <v>-2907.28</v>
      </c>
      <c r="J303" s="15"/>
      <c r="K303" s="15"/>
    </row>
    <row r="304" spans="1:11" x14ac:dyDescent="0.4">
      <c r="A304" s="56">
        <v>45169</v>
      </c>
      <c r="B304" s="9">
        <v>377.99</v>
      </c>
      <c r="C304" s="9">
        <v>383.56</v>
      </c>
      <c r="D304" s="9">
        <v>354.71</v>
      </c>
      <c r="E304" s="9">
        <v>382.31</v>
      </c>
      <c r="G304" s="15">
        <f t="shared" si="21"/>
        <v>-3058.48</v>
      </c>
      <c r="H304" s="15">
        <f t="shared" si="22"/>
        <v>-3068.48</v>
      </c>
      <c r="I304" s="15">
        <f t="shared" si="23"/>
        <v>-2837.68</v>
      </c>
      <c r="J304" s="15"/>
      <c r="K304" s="15"/>
    </row>
    <row r="305" spans="1:11" x14ac:dyDescent="0.4">
      <c r="A305" s="56">
        <v>45199</v>
      </c>
      <c r="B305" s="9">
        <v>358.27</v>
      </c>
      <c r="C305" s="9">
        <v>380.83</v>
      </c>
      <c r="D305" s="9">
        <v>351.36</v>
      </c>
      <c r="E305" s="9">
        <v>380.4</v>
      </c>
      <c r="G305" s="15">
        <f t="shared" si="21"/>
        <v>-3043.2</v>
      </c>
      <c r="H305" s="15">
        <f t="shared" si="22"/>
        <v>-3046.64</v>
      </c>
      <c r="I305" s="15">
        <f t="shared" si="23"/>
        <v>-2810.88</v>
      </c>
      <c r="J305" s="15"/>
      <c r="K305" s="15"/>
    </row>
    <row r="306" spans="1:11" x14ac:dyDescent="0.4">
      <c r="A306" s="56">
        <v>45230</v>
      </c>
      <c r="B306" s="9">
        <v>350.87</v>
      </c>
      <c r="C306" s="9">
        <v>373.74</v>
      </c>
      <c r="D306" s="9">
        <v>342.35</v>
      </c>
      <c r="E306" s="9">
        <v>358.54</v>
      </c>
      <c r="G306" s="15">
        <f t="shared" si="21"/>
        <v>-2868.32</v>
      </c>
      <c r="H306" s="15">
        <f t="shared" si="22"/>
        <v>-2989.92</v>
      </c>
      <c r="I306" s="15">
        <f t="shared" si="23"/>
        <v>-2738.8</v>
      </c>
      <c r="J306" s="15"/>
      <c r="K306" s="15"/>
    </row>
    <row r="307" spans="1:11" x14ac:dyDescent="0.4">
      <c r="A307" s="56">
        <v>45260</v>
      </c>
      <c r="B307" s="9">
        <v>388.83</v>
      </c>
      <c r="C307" s="9">
        <v>394.14</v>
      </c>
      <c r="D307" s="9">
        <v>351.62</v>
      </c>
      <c r="E307" s="9">
        <v>351.72</v>
      </c>
      <c r="G307" s="15">
        <f t="shared" si="21"/>
        <v>-2813.76</v>
      </c>
      <c r="H307" s="15">
        <f t="shared" si="22"/>
        <v>-3153.12</v>
      </c>
      <c r="I307" s="15">
        <f t="shared" si="23"/>
        <v>-2812.96</v>
      </c>
      <c r="J307" s="15"/>
      <c r="K307" s="15"/>
    </row>
    <row r="308" spans="1:11" x14ac:dyDescent="0.4">
      <c r="A308" s="56">
        <v>45291</v>
      </c>
      <c r="B308" s="9">
        <v>409.52</v>
      </c>
      <c r="C308" s="9">
        <v>412.92</v>
      </c>
      <c r="D308" s="9">
        <v>382.66</v>
      </c>
      <c r="E308" s="9">
        <v>387.75</v>
      </c>
      <c r="F308" s="15"/>
      <c r="G308" s="15">
        <f t="shared" si="21"/>
        <v>-3102</v>
      </c>
      <c r="H308" s="15">
        <f t="shared" si="22"/>
        <v>-3303.36</v>
      </c>
      <c r="I308" s="15">
        <f t="shared" si="23"/>
        <v>-3061.28</v>
      </c>
      <c r="J308" s="15"/>
      <c r="K308" s="15"/>
    </row>
    <row r="309" spans="1:11" x14ac:dyDescent="0.4">
      <c r="A309" s="56">
        <v>45322</v>
      </c>
      <c r="B309" s="9">
        <v>416.97</v>
      </c>
      <c r="C309" s="9">
        <v>429.85</v>
      </c>
      <c r="D309" s="9">
        <v>395.34</v>
      </c>
      <c r="E309" s="9">
        <v>405.84</v>
      </c>
      <c r="G309" s="15">
        <f t="shared" si="21"/>
        <v>-3246.72</v>
      </c>
      <c r="H309" s="15">
        <f t="shared" si="22"/>
        <v>-3438.8</v>
      </c>
      <c r="I309" s="15">
        <f t="shared" si="23"/>
        <v>-3162.72</v>
      </c>
      <c r="J309" s="15">
        <f>-MAX(C309:C320)*12*J$1</f>
        <v>-44244.480000000003</v>
      </c>
      <c r="K309" s="15">
        <f>-MIN(D309:D320)*12*K$1</f>
        <v>-52184.88</v>
      </c>
    </row>
    <row r="310" spans="1:11" x14ac:dyDescent="0.4">
      <c r="A310" s="56">
        <v>45351</v>
      </c>
      <c r="B310" s="9">
        <v>439</v>
      </c>
      <c r="C310" s="9">
        <v>440.59</v>
      </c>
      <c r="D310" s="9">
        <v>417.81</v>
      </c>
      <c r="E310" s="9">
        <v>418.79</v>
      </c>
      <c r="G310" s="15">
        <f t="shared" si="21"/>
        <v>-3350.32</v>
      </c>
      <c r="H310" s="15">
        <f t="shared" si="22"/>
        <v>-3524.72</v>
      </c>
      <c r="I310" s="15">
        <f t="shared" si="23"/>
        <v>-3342.48</v>
      </c>
      <c r="J310" s="15"/>
      <c r="K310" s="15"/>
    </row>
    <row r="311" spans="1:11" x14ac:dyDescent="0.4">
      <c r="A311" s="56">
        <v>45382</v>
      </c>
      <c r="B311" s="9">
        <v>444.01</v>
      </c>
      <c r="C311" s="9">
        <v>449.34</v>
      </c>
      <c r="D311" s="9">
        <v>432.74</v>
      </c>
      <c r="E311" s="9">
        <v>439.9</v>
      </c>
      <c r="G311" s="15">
        <f t="shared" si="21"/>
        <v>-3519.2</v>
      </c>
      <c r="H311" s="15">
        <f t="shared" si="22"/>
        <v>-3594.72</v>
      </c>
      <c r="I311" s="15">
        <f t="shared" si="23"/>
        <v>-3461.92</v>
      </c>
      <c r="J311" s="15"/>
      <c r="K311" s="15"/>
    </row>
    <row r="312" spans="1:11" x14ac:dyDescent="0.4">
      <c r="A312" s="56">
        <v>45412</v>
      </c>
      <c r="B312" s="9">
        <v>424.59</v>
      </c>
      <c r="C312" s="9">
        <v>447.53</v>
      </c>
      <c r="D312" s="9">
        <v>413.07</v>
      </c>
      <c r="E312" s="9">
        <v>444.97</v>
      </c>
      <c r="G312" s="15">
        <f t="shared" si="21"/>
        <v>-3559.76</v>
      </c>
      <c r="H312" s="15">
        <f t="shared" si="22"/>
        <v>-3580.24</v>
      </c>
      <c r="I312" s="15">
        <f t="shared" si="23"/>
        <v>-3304.56</v>
      </c>
      <c r="J312" s="15"/>
      <c r="K312" s="15"/>
    </row>
    <row r="313" spans="1:11" x14ac:dyDescent="0.4">
      <c r="A313" s="56">
        <v>45443</v>
      </c>
      <c r="B313" s="9">
        <v>450.71</v>
      </c>
      <c r="C313" s="9">
        <v>460.58</v>
      </c>
      <c r="D313" s="9">
        <v>420.63</v>
      </c>
      <c r="E313" s="9">
        <v>423.15</v>
      </c>
      <c r="G313" s="15">
        <f t="shared" si="21"/>
        <v>-3385.2</v>
      </c>
      <c r="H313" s="15">
        <f t="shared" si="22"/>
        <v>-3684.64</v>
      </c>
      <c r="I313" s="15">
        <f t="shared" si="23"/>
        <v>-3365.04</v>
      </c>
      <c r="J313" s="15"/>
      <c r="K313" s="15"/>
    </row>
    <row r="314" spans="1:11" x14ac:dyDescent="0.4">
      <c r="A314" s="56">
        <v>45473</v>
      </c>
      <c r="B314" s="9">
        <v>479.11</v>
      </c>
      <c r="C314" s="9">
        <v>487.2</v>
      </c>
      <c r="D314" s="9">
        <v>447.9</v>
      </c>
      <c r="E314" s="9">
        <v>454.57</v>
      </c>
      <c r="G314" s="15">
        <f t="shared" si="21"/>
        <v>-3636.56</v>
      </c>
      <c r="H314" s="15">
        <f t="shared" si="22"/>
        <v>-3897.6</v>
      </c>
      <c r="I314" s="15">
        <f t="shared" si="23"/>
        <v>-3583.2</v>
      </c>
      <c r="J314" s="15"/>
      <c r="K314" s="15"/>
    </row>
    <row r="315" spans="1:11" x14ac:dyDescent="0.4">
      <c r="A315" s="56">
        <v>45504</v>
      </c>
      <c r="B315" s="9">
        <v>471.07</v>
      </c>
      <c r="C315" s="9">
        <v>503.52</v>
      </c>
      <c r="D315" s="9">
        <v>454.15</v>
      </c>
      <c r="E315" s="9">
        <v>480.04</v>
      </c>
      <c r="G315" s="15">
        <f t="shared" ref="G315:G320" si="24">-E315*G$1</f>
        <v>-3840.32</v>
      </c>
      <c r="H315" s="15">
        <f t="shared" ref="H315:I320" si="25">-C315*H$1</f>
        <v>-4028.16</v>
      </c>
      <c r="I315" s="15">
        <f t="shared" si="25"/>
        <v>-3633.2</v>
      </c>
      <c r="J315" s="15"/>
      <c r="K315" s="15"/>
    </row>
    <row r="316" spans="1:11" x14ac:dyDescent="0.4">
      <c r="A316" s="56">
        <v>45535</v>
      </c>
      <c r="B316" s="9">
        <v>476.27</v>
      </c>
      <c r="C316" s="9">
        <v>485.54</v>
      </c>
      <c r="D316" s="9">
        <v>423.45</v>
      </c>
      <c r="E316" s="9">
        <v>471.76</v>
      </c>
      <c r="G316" s="15">
        <f t="shared" si="24"/>
        <v>-3774.08</v>
      </c>
      <c r="H316" s="15">
        <f t="shared" si="25"/>
        <v>-3884.32</v>
      </c>
      <c r="I316" s="15">
        <f t="shared" si="25"/>
        <v>-3387.6</v>
      </c>
      <c r="J316" s="15"/>
      <c r="K316" s="15"/>
    </row>
    <row r="317" spans="1:11" x14ac:dyDescent="0.4">
      <c r="A317" s="56">
        <v>45565</v>
      </c>
      <c r="B317" s="9">
        <v>488.07</v>
      </c>
      <c r="C317" s="9">
        <v>493.7</v>
      </c>
      <c r="D317" s="9">
        <v>448.19</v>
      </c>
      <c r="E317" s="9">
        <v>473.2</v>
      </c>
      <c r="G317" s="15">
        <f t="shared" si="24"/>
        <v>-3785.6</v>
      </c>
      <c r="H317" s="15">
        <f t="shared" si="25"/>
        <v>-3949.6</v>
      </c>
      <c r="I317" s="15">
        <f t="shared" si="25"/>
        <v>-3585.52</v>
      </c>
      <c r="J317" s="15"/>
      <c r="K317" s="15"/>
    </row>
    <row r="318" spans="1:11" x14ac:dyDescent="0.4">
      <c r="A318" s="56">
        <v>45596</v>
      </c>
      <c r="B318" s="9">
        <v>483.85</v>
      </c>
      <c r="C318" s="9">
        <v>501.35</v>
      </c>
      <c r="D318" s="9">
        <v>477.4</v>
      </c>
      <c r="E318" s="9">
        <v>487.7</v>
      </c>
      <c r="G318" s="15">
        <f t="shared" si="24"/>
        <v>-3901.6</v>
      </c>
      <c r="H318" s="15">
        <f t="shared" si="25"/>
        <v>-4010.8</v>
      </c>
      <c r="I318" s="15">
        <f t="shared" si="25"/>
        <v>-3819.2</v>
      </c>
      <c r="J318" s="15"/>
      <c r="K318" s="15"/>
    </row>
    <row r="319" spans="1:11" x14ac:dyDescent="0.4">
      <c r="A319" s="56">
        <v>45626</v>
      </c>
      <c r="B319" s="9">
        <v>509.74</v>
      </c>
      <c r="C319" s="9">
        <v>515.58000000000004</v>
      </c>
      <c r="D319" s="9">
        <v>484.25</v>
      </c>
      <c r="E319" s="9">
        <v>485.5</v>
      </c>
      <c r="G319" s="15">
        <f t="shared" si="24"/>
        <v>-3884</v>
      </c>
      <c r="H319" s="15">
        <f t="shared" si="25"/>
        <v>-4124.6400000000003</v>
      </c>
      <c r="I319" s="15">
        <f t="shared" si="25"/>
        <v>-3874</v>
      </c>
      <c r="J319" s="15"/>
      <c r="K319" s="15"/>
    </row>
    <row r="320" spans="1:11" x14ac:dyDescent="0.4">
      <c r="A320" s="56">
        <v>45657</v>
      </c>
      <c r="B320" s="9">
        <v>526.48</v>
      </c>
      <c r="C320" s="9">
        <v>526.72</v>
      </c>
      <c r="D320" s="9">
        <v>510.62</v>
      </c>
      <c r="E320" s="9">
        <v>511.01</v>
      </c>
      <c r="G320" s="15">
        <f t="shared" si="24"/>
        <v>-4088.08</v>
      </c>
      <c r="H320" s="15">
        <f t="shared" si="25"/>
        <v>-4213.76</v>
      </c>
      <c r="I320" s="15">
        <f t="shared" si="25"/>
        <v>-4084.96</v>
      </c>
      <c r="J320" s="15"/>
      <c r="K320" s="15"/>
    </row>
    <row r="321" spans="1:11" s="52" customFormat="1" x14ac:dyDescent="0.4">
      <c r="A321" s="259" t="s">
        <v>10</v>
      </c>
      <c r="B321" s="260"/>
      <c r="C321" s="260"/>
      <c r="D321" s="260"/>
      <c r="E321" s="261"/>
      <c r="F321" s="11">
        <f t="shared" ref="F321:K321" si="26">F5</f>
        <v>2527104</v>
      </c>
      <c r="G321" s="11">
        <f t="shared" si="26"/>
        <v>1305670.4000000001</v>
      </c>
      <c r="H321" s="11">
        <f t="shared" si="26"/>
        <v>1305670.4000000001</v>
      </c>
      <c r="I321" s="11">
        <f t="shared" si="26"/>
        <v>1305670.4000000001</v>
      </c>
      <c r="J321" s="11">
        <f t="shared" si="26"/>
        <v>1149832.32</v>
      </c>
      <c r="K321" s="11">
        <f t="shared" si="26"/>
        <v>1806879.36</v>
      </c>
    </row>
    <row r="322" spans="1:11" s="30" customFormat="1" x14ac:dyDescent="0.4">
      <c r="A322" s="56"/>
      <c r="B322" s="60"/>
      <c r="C322" s="60"/>
      <c r="D322" s="60"/>
      <c r="E322" s="60"/>
      <c r="F322" s="61" t="s">
        <v>130</v>
      </c>
      <c r="G322" s="61" t="s">
        <v>130</v>
      </c>
      <c r="H322" s="61" t="s">
        <v>130</v>
      </c>
      <c r="I322" s="61" t="s">
        <v>130</v>
      </c>
      <c r="J322" s="61" t="s">
        <v>130</v>
      </c>
      <c r="K322" s="61" t="s">
        <v>130</v>
      </c>
    </row>
  </sheetData>
  <sheetProtection algorithmName="SHA-512" hashValue="Fk/WpimGRl5Pj1gXCmb9fOWooC7O9g9i9Lx8Jxb79LwOGQbJk25tUnxR+LwVFxjBvGSjBymzFVZ9h66DNFffuA==" saltValue="FLb2dYzRYJpQQT496RKSyg==" spinCount="100000" sheet="1" objects="1" scenarios="1" formatCells="0" formatColumns="0" formatRows="0"/>
  <mergeCells count="19">
    <mergeCell ref="A1:E1"/>
    <mergeCell ref="A8:E8"/>
    <mergeCell ref="A2:E2"/>
    <mergeCell ref="A3:E3"/>
    <mergeCell ref="A4:E4"/>
    <mergeCell ref="A5:E5"/>
    <mergeCell ref="A6:E6"/>
    <mergeCell ref="A7:E7"/>
    <mergeCell ref="K9:K10"/>
    <mergeCell ref="A321:E321"/>
    <mergeCell ref="F9:F10"/>
    <mergeCell ref="G9:G10"/>
    <mergeCell ref="H9:H10"/>
    <mergeCell ref="I9:I10"/>
    <mergeCell ref="J9:J10"/>
    <mergeCell ref="B9:B10"/>
    <mergeCell ref="C9:C10"/>
    <mergeCell ref="D9:D10"/>
    <mergeCell ref="E9:E10"/>
  </mergeCells>
  <phoneticPr fontId="2" type="noConversion"/>
  <conditionalFormatting sqref="F8">
    <cfRule type="cellIs" dxfId="15" priority="1" operator="greater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工作表7"/>
  <dimension ref="A1:T34"/>
  <sheetViews>
    <sheetView showGridLines="0" zoomScale="70" zoomScaleNormal="70" workbookViewId="0">
      <pane xSplit="5" ySplit="2" topLeftCell="F3" activePane="bottomRight" state="frozen"/>
      <selection pane="topRight" activeCell="F1" sqref="F1"/>
      <selection pane="bottomLeft" activeCell="A3" sqref="A3"/>
      <selection pane="bottomRight" activeCell="C7" sqref="C7"/>
    </sheetView>
  </sheetViews>
  <sheetFormatPr defaultColWidth="9.6328125" defaultRowHeight="15.65" customHeight="1" x14ac:dyDescent="0.4"/>
  <cols>
    <col min="1" max="1" width="4.08984375" style="123" customWidth="1"/>
    <col min="2" max="2" width="21" style="125" bestFit="1" customWidth="1"/>
    <col min="3" max="3" width="9.54296875" style="124" bestFit="1" customWidth="1"/>
    <col min="4" max="4" width="0.81640625" style="130" customWidth="1"/>
    <col min="5" max="5" width="6" style="149" bestFit="1" customWidth="1"/>
    <col min="6" max="6" width="8.26953125" style="150" bestFit="1" customWidth="1"/>
    <col min="7" max="8" width="8.453125" style="122" bestFit="1" customWidth="1"/>
    <col min="9" max="9" width="8.26953125" style="124" bestFit="1" customWidth="1"/>
    <col min="10" max="10" width="10.90625" style="124" bestFit="1" customWidth="1"/>
    <col min="11" max="19" width="9.6328125" style="126" customWidth="1"/>
    <col min="20" max="20" width="9.6328125" style="126"/>
    <col min="21" max="16384" width="9.6328125" style="112"/>
  </cols>
  <sheetData>
    <row r="1" spans="1:20" ht="15.65" customHeight="1" x14ac:dyDescent="0.4">
      <c r="A1" s="279" t="s">
        <v>36</v>
      </c>
      <c r="B1" s="280" t="s">
        <v>98</v>
      </c>
      <c r="C1" s="280" t="s">
        <v>26</v>
      </c>
      <c r="E1" s="277" t="s">
        <v>23</v>
      </c>
      <c r="F1" s="278" t="s">
        <v>27</v>
      </c>
      <c r="G1" s="273" t="s">
        <v>24</v>
      </c>
      <c r="H1" s="273" t="s">
        <v>25</v>
      </c>
      <c r="I1" s="274">
        <f ca="1">C15</f>
        <v>226.12801640265511</v>
      </c>
      <c r="J1" s="274"/>
    </row>
    <row r="2" spans="1:20" ht="17" x14ac:dyDescent="0.4">
      <c r="A2" s="279"/>
      <c r="B2" s="280"/>
      <c r="C2" s="280"/>
      <c r="E2" s="277"/>
      <c r="F2" s="278"/>
      <c r="G2" s="273"/>
      <c r="H2" s="273"/>
      <c r="I2" s="113" t="s">
        <v>31</v>
      </c>
      <c r="J2" s="114" t="s">
        <v>30</v>
      </c>
    </row>
    <row r="3" spans="1:20" s="116" customFormat="1" ht="17" x14ac:dyDescent="0.4">
      <c r="A3" s="282" t="s">
        <v>238</v>
      </c>
      <c r="B3" s="115" t="s">
        <v>51</v>
      </c>
      <c r="C3" s="157">
        <v>0.03</v>
      </c>
      <c r="D3" s="131"/>
      <c r="E3" s="155" t="s">
        <v>131</v>
      </c>
      <c r="F3" s="152"/>
      <c r="G3" s="153"/>
      <c r="H3" s="153"/>
      <c r="I3" s="154"/>
      <c r="J3" s="133">
        <f ca="1">C25</f>
        <v>11306.400820132756</v>
      </c>
      <c r="K3" s="127"/>
      <c r="L3" s="127"/>
      <c r="M3" s="127"/>
      <c r="N3" s="127"/>
      <c r="O3" s="127"/>
      <c r="P3" s="127"/>
      <c r="Q3" s="127"/>
      <c r="R3" s="127"/>
      <c r="S3" s="128"/>
      <c r="T3" s="128"/>
    </row>
    <row r="4" spans="1:20" ht="17" x14ac:dyDescent="0.4">
      <c r="A4" s="282"/>
      <c r="B4" s="115" t="s">
        <v>239</v>
      </c>
      <c r="C4" s="134">
        <v>1985</v>
      </c>
      <c r="D4" s="131"/>
      <c r="E4" s="132">
        <v>1999</v>
      </c>
      <c r="F4" s="118">
        <f>IFERROR((H4-G4)/G4,0)</f>
        <v>0.79317111459968592</v>
      </c>
      <c r="G4" s="119">
        <v>50.96</v>
      </c>
      <c r="H4" s="119">
        <v>91.38</v>
      </c>
      <c r="I4" s="117">
        <f t="shared" ref="I4:I29" ca="1" si="0">$C$15*(1+$C$3)^(E4-E$4)</f>
        <v>226.12801640265511</v>
      </c>
      <c r="J4" s="117">
        <f ca="1">(J3-I4)*(1+$F4)</f>
        <v>19868.82513353329</v>
      </c>
      <c r="K4" s="129"/>
      <c r="L4" s="129"/>
      <c r="M4" s="129"/>
      <c r="N4" s="129"/>
      <c r="O4" s="129"/>
      <c r="P4" s="129"/>
      <c r="Q4" s="129"/>
      <c r="R4" s="129"/>
    </row>
    <row r="5" spans="1:20" ht="17" x14ac:dyDescent="0.4">
      <c r="A5" s="282"/>
      <c r="B5" s="115" t="s">
        <v>110</v>
      </c>
      <c r="C5" s="135">
        <f ca="1">YEAR(NOW())-C4</f>
        <v>40</v>
      </c>
      <c r="E5" s="132">
        <v>2000</v>
      </c>
      <c r="F5" s="118">
        <f>IFERROR((H5-G5)/G5,0)</f>
        <v>-0.39307620334754129</v>
      </c>
      <c r="G5" s="119">
        <v>96.19</v>
      </c>
      <c r="H5" s="119">
        <v>58.38</v>
      </c>
      <c r="I5" s="117">
        <f t="shared" ca="1" si="0"/>
        <v>232.91185689473477</v>
      </c>
      <c r="J5" s="117">
        <f ca="1">(J4-I5)*(1+$F5)</f>
        <v>11917.503036595894</v>
      </c>
      <c r="K5" s="129"/>
      <c r="L5" s="129"/>
      <c r="M5" s="129"/>
      <c r="N5" s="129"/>
      <c r="O5" s="129"/>
      <c r="P5" s="129"/>
      <c r="Q5" s="129"/>
      <c r="R5" s="129"/>
    </row>
    <row r="6" spans="1:20" ht="17" x14ac:dyDescent="0.4">
      <c r="A6" s="282"/>
      <c r="B6" s="115" t="s">
        <v>235</v>
      </c>
      <c r="C6" s="156">
        <v>65</v>
      </c>
      <c r="E6" s="132">
        <v>2001</v>
      </c>
      <c r="F6" s="118">
        <f t="shared" ref="F6:F28" si="1">IFERROR((H6-G6)/G6,0)</f>
        <v>-0.33555327868852469</v>
      </c>
      <c r="G6" s="119">
        <v>58.56</v>
      </c>
      <c r="H6" s="119">
        <v>38.909999999999997</v>
      </c>
      <c r="I6" s="117">
        <f t="shared" ca="1" si="0"/>
        <v>239.89921260157678</v>
      </c>
      <c r="J6" s="117">
        <f ca="1">(J5-I6)*(1+$F6)</f>
        <v>7759.1455736273701</v>
      </c>
      <c r="K6" s="129"/>
      <c r="L6" s="129"/>
      <c r="M6" s="129"/>
      <c r="N6" s="129"/>
      <c r="O6" s="129"/>
      <c r="P6" s="129"/>
      <c r="Q6" s="129"/>
      <c r="R6" s="129"/>
    </row>
    <row r="7" spans="1:20" ht="17" x14ac:dyDescent="0.4">
      <c r="A7" s="282"/>
      <c r="B7" s="115" t="s">
        <v>236</v>
      </c>
      <c r="C7" s="136">
        <f>C4+C6</f>
        <v>2050</v>
      </c>
      <c r="E7" s="132">
        <v>2002</v>
      </c>
      <c r="F7" s="118">
        <f t="shared" si="1"/>
        <v>-0.38397371081900911</v>
      </c>
      <c r="G7" s="119">
        <v>39.56</v>
      </c>
      <c r="H7" s="119">
        <v>24.37</v>
      </c>
      <c r="I7" s="117">
        <f t="shared" ca="1" si="0"/>
        <v>247.09618897962412</v>
      </c>
      <c r="J7" s="117">
        <f t="shared" ref="J7:J29" ca="1" si="2">(J6-I7)*(1+$F7)</f>
        <v>4627.619906568897</v>
      </c>
      <c r="K7" s="129"/>
      <c r="L7" s="129"/>
      <c r="M7" s="129"/>
      <c r="N7" s="129"/>
      <c r="O7" s="129"/>
      <c r="P7" s="129"/>
      <c r="Q7" s="129"/>
      <c r="R7" s="129"/>
    </row>
    <row r="8" spans="1:20" ht="17" x14ac:dyDescent="0.4">
      <c r="A8" s="281" t="s">
        <v>248</v>
      </c>
      <c r="B8" s="120" t="s">
        <v>245</v>
      </c>
      <c r="C8" s="137">
        <f>$H$29/$G$4-1</f>
        <v>9.0319858712715853</v>
      </c>
      <c r="E8" s="132">
        <v>2003</v>
      </c>
      <c r="F8" s="118">
        <f t="shared" si="1"/>
        <v>0.47313131313131318</v>
      </c>
      <c r="G8" s="119">
        <v>24.75</v>
      </c>
      <c r="H8" s="119">
        <v>36.46</v>
      </c>
      <c r="I8" s="117">
        <f t="shared" ca="1" si="0"/>
        <v>254.5090746490128</v>
      </c>
      <c r="J8" s="117">
        <f t="shared" ca="1" si="2"/>
        <v>6442.1665022949082</v>
      </c>
      <c r="K8" s="129"/>
      <c r="L8" s="129"/>
      <c r="M8" s="129"/>
      <c r="N8" s="129"/>
      <c r="O8" s="129"/>
      <c r="P8" s="129"/>
      <c r="Q8" s="129"/>
      <c r="R8" s="129"/>
    </row>
    <row r="9" spans="1:20" ht="17" x14ac:dyDescent="0.4">
      <c r="A9" s="281"/>
      <c r="B9" s="120" t="s">
        <v>244</v>
      </c>
      <c r="C9" s="94">
        <f>'3.5.1定期定額回測'!A10</f>
        <v>25.744010951403148</v>
      </c>
      <c r="E9" s="132">
        <v>2004</v>
      </c>
      <c r="F9" s="118">
        <f t="shared" si="1"/>
        <v>8.8925259138025237E-2</v>
      </c>
      <c r="G9" s="119">
        <v>36.659999999999997</v>
      </c>
      <c r="H9" s="119">
        <v>39.92</v>
      </c>
      <c r="I9" s="117">
        <f t="shared" ca="1" si="0"/>
        <v>262.1443468884832</v>
      </c>
      <c r="J9" s="117">
        <f t="shared" ca="1" si="2"/>
        <v>6729.5822270546778</v>
      </c>
      <c r="K9" s="129"/>
      <c r="L9" s="129"/>
      <c r="M9" s="129"/>
      <c r="N9" s="129"/>
      <c r="O9" s="129"/>
      <c r="P9" s="129"/>
      <c r="Q9" s="129"/>
      <c r="R9" s="129"/>
    </row>
    <row r="10" spans="1:20" ht="17" x14ac:dyDescent="0.4">
      <c r="A10" s="281"/>
      <c r="B10" s="120" t="s">
        <v>58</v>
      </c>
      <c r="C10" s="138">
        <f>(1+$C$8)^(1/$C$9)-1</f>
        <v>9.3699111106518185E-2</v>
      </c>
      <c r="E10" s="132">
        <v>2005</v>
      </c>
      <c r="F10" s="118">
        <f t="shared" si="1"/>
        <v>8.2335329341316939E-3</v>
      </c>
      <c r="G10" s="119">
        <v>40.08</v>
      </c>
      <c r="H10" s="119">
        <v>40.409999999999997</v>
      </c>
      <c r="I10" s="117">
        <f t="shared" ca="1" si="0"/>
        <v>270.00867729513772</v>
      </c>
      <c r="J10" s="117">
        <f t="shared" ca="1" si="2"/>
        <v>6512.758661321931</v>
      </c>
      <c r="K10" s="129"/>
      <c r="L10" s="129"/>
      <c r="M10" s="129"/>
      <c r="N10" s="129"/>
      <c r="O10" s="129"/>
      <c r="P10" s="129"/>
      <c r="Q10" s="129"/>
      <c r="R10" s="129"/>
    </row>
    <row r="11" spans="1:20" ht="17" x14ac:dyDescent="0.4">
      <c r="A11" s="275" t="s">
        <v>237</v>
      </c>
      <c r="B11" s="115" t="s">
        <v>28</v>
      </c>
      <c r="C11" s="139">
        <v>30</v>
      </c>
      <c r="E11" s="132">
        <v>2006</v>
      </c>
      <c r="F11" s="118">
        <f t="shared" si="1"/>
        <v>6.2007874015747935E-2</v>
      </c>
      <c r="G11" s="119">
        <v>40.64</v>
      </c>
      <c r="H11" s="119">
        <v>43.16</v>
      </c>
      <c r="I11" s="117">
        <f t="shared" ca="1" si="0"/>
        <v>278.10893761399183</v>
      </c>
      <c r="J11" s="117">
        <f t="shared" ca="1" si="2"/>
        <v>6621.2470983079384</v>
      </c>
      <c r="K11" s="129"/>
      <c r="L11" s="129"/>
      <c r="M11" s="129"/>
      <c r="N11" s="129"/>
      <c r="O11" s="129"/>
      <c r="P11" s="129"/>
      <c r="Q11" s="129"/>
      <c r="R11" s="129"/>
    </row>
    <row r="12" spans="1:20" ht="17" x14ac:dyDescent="0.4">
      <c r="A12" s="275"/>
      <c r="B12" s="115" t="s">
        <v>111</v>
      </c>
      <c r="C12" s="140">
        <v>108</v>
      </c>
      <c r="E12" s="132">
        <v>2007</v>
      </c>
      <c r="F12" s="118">
        <f t="shared" si="1"/>
        <v>0.17855499309710074</v>
      </c>
      <c r="G12" s="119">
        <v>43.46</v>
      </c>
      <c r="H12" s="119">
        <v>51.22</v>
      </c>
      <c r="I12" s="117">
        <f t="shared" ca="1" si="0"/>
        <v>286.45220574241154</v>
      </c>
      <c r="J12" s="117">
        <f t="shared" ca="1" si="2"/>
        <v>7465.9041508791124</v>
      </c>
      <c r="K12" s="129"/>
      <c r="L12" s="129"/>
      <c r="M12" s="129"/>
      <c r="N12" s="129"/>
      <c r="O12" s="129"/>
      <c r="P12" s="129"/>
      <c r="Q12" s="129"/>
      <c r="R12" s="129"/>
    </row>
    <row r="13" spans="1:20" ht="17" x14ac:dyDescent="0.4">
      <c r="A13" s="275"/>
      <c r="B13" s="115" t="s">
        <v>231</v>
      </c>
      <c r="C13" s="141">
        <v>6</v>
      </c>
      <c r="E13" s="132">
        <v>2008</v>
      </c>
      <c r="F13" s="118">
        <f t="shared" si="1"/>
        <v>-0.41993368441583778</v>
      </c>
      <c r="G13" s="119">
        <v>51.27</v>
      </c>
      <c r="H13" s="119">
        <v>29.74</v>
      </c>
      <c r="I13" s="117">
        <f t="shared" ca="1" si="0"/>
        <v>295.04577191468394</v>
      </c>
      <c r="J13" s="117">
        <f t="shared" ca="1" si="2"/>
        <v>4159.573399461714</v>
      </c>
      <c r="K13" s="129"/>
      <c r="L13" s="129"/>
      <c r="M13" s="129"/>
      <c r="N13" s="129"/>
      <c r="O13" s="129"/>
      <c r="P13" s="129"/>
      <c r="Q13" s="129"/>
      <c r="R13" s="129"/>
    </row>
    <row r="14" spans="1:20" ht="17" x14ac:dyDescent="0.4">
      <c r="A14" s="275"/>
      <c r="B14" s="115" t="s">
        <v>246</v>
      </c>
      <c r="C14" s="142">
        <f>$C$12*$C$13/12</f>
        <v>54</v>
      </c>
      <c r="E14" s="132">
        <v>2009</v>
      </c>
      <c r="F14" s="118">
        <f t="shared" si="1"/>
        <v>0.53781512605042014</v>
      </c>
      <c r="G14" s="119">
        <v>29.75</v>
      </c>
      <c r="H14" s="119">
        <v>45.75</v>
      </c>
      <c r="I14" s="117">
        <f t="shared" ca="1" si="0"/>
        <v>303.89714507212443</v>
      </c>
      <c r="J14" s="117">
        <f t="shared" ca="1" si="2"/>
        <v>5929.3172651537379</v>
      </c>
      <c r="K14" s="129"/>
      <c r="L14" s="129"/>
      <c r="M14" s="129"/>
      <c r="N14" s="129"/>
      <c r="O14" s="129"/>
      <c r="P14" s="129"/>
      <c r="Q14" s="129"/>
      <c r="R14" s="129"/>
    </row>
    <row r="15" spans="1:20" ht="17" x14ac:dyDescent="0.4">
      <c r="A15" s="275"/>
      <c r="B15" s="115" t="s">
        <v>112</v>
      </c>
      <c r="C15" s="143">
        <f ca="1">C12*(1+C3)^(C6-C5)</f>
        <v>226.12801640265511</v>
      </c>
      <c r="E15" s="132">
        <v>2010</v>
      </c>
      <c r="F15" s="118">
        <f t="shared" si="1"/>
        <v>0.17548025037772508</v>
      </c>
      <c r="G15" s="119">
        <v>46.33</v>
      </c>
      <c r="H15" s="119">
        <v>54.46</v>
      </c>
      <c r="I15" s="117">
        <f t="shared" ca="1" si="0"/>
        <v>313.01405942428818</v>
      </c>
      <c r="J15" s="117">
        <f t="shared" ca="1" si="2"/>
        <v>6601.8534984680737</v>
      </c>
      <c r="K15" s="129"/>
      <c r="L15" s="129"/>
      <c r="M15" s="129"/>
      <c r="N15" s="129"/>
      <c r="O15" s="129"/>
      <c r="P15" s="129"/>
      <c r="Q15" s="129"/>
      <c r="R15" s="129"/>
    </row>
    <row r="16" spans="1:20" ht="17" x14ac:dyDescent="0.4">
      <c r="A16" s="275"/>
      <c r="B16" s="115" t="s">
        <v>232</v>
      </c>
      <c r="C16" s="144">
        <v>2</v>
      </c>
      <c r="E16" s="132">
        <v>2011</v>
      </c>
      <c r="F16" s="118">
        <f t="shared" si="1"/>
        <v>1.5644897216663626E-2</v>
      </c>
      <c r="G16" s="119">
        <v>54.97</v>
      </c>
      <c r="H16" s="119">
        <v>55.83</v>
      </c>
      <c r="I16" s="117">
        <f t="shared" ca="1" si="0"/>
        <v>322.40448120701677</v>
      </c>
      <c r="J16" s="117">
        <f t="shared" ca="1" si="2"/>
        <v>6377.6903517133851</v>
      </c>
      <c r="K16" s="129"/>
      <c r="L16" s="129"/>
      <c r="M16" s="129"/>
      <c r="N16" s="129"/>
      <c r="O16" s="129"/>
      <c r="P16" s="129"/>
      <c r="Q16" s="129"/>
      <c r="R16" s="129"/>
    </row>
    <row r="17" spans="1:18" ht="17" x14ac:dyDescent="0.4">
      <c r="A17" s="275"/>
      <c r="B17" s="115" t="s">
        <v>247</v>
      </c>
      <c r="C17" s="142">
        <f ca="1">$C$15*$C$16</f>
        <v>452.25603280531021</v>
      </c>
      <c r="E17" s="132">
        <v>2012</v>
      </c>
      <c r="F17" s="118">
        <f t="shared" si="1"/>
        <v>0.14443858724301528</v>
      </c>
      <c r="G17" s="119">
        <v>56.91</v>
      </c>
      <c r="H17" s="119">
        <v>65.13</v>
      </c>
      <c r="I17" s="117">
        <f t="shared" ca="1" si="0"/>
        <v>332.07661564322729</v>
      </c>
      <c r="J17" s="117">
        <f t="shared" ca="1" si="2"/>
        <v>6918.8336431250982</v>
      </c>
      <c r="K17" s="129"/>
      <c r="L17" s="129"/>
      <c r="M17" s="129"/>
      <c r="N17" s="129"/>
      <c r="O17" s="129"/>
      <c r="P17" s="129"/>
      <c r="Q17" s="129"/>
      <c r="R17" s="129"/>
    </row>
    <row r="18" spans="1:18" ht="17" x14ac:dyDescent="0.4">
      <c r="A18" s="276" t="s">
        <v>241</v>
      </c>
      <c r="B18" s="120" t="s">
        <v>250</v>
      </c>
      <c r="C18" s="140">
        <v>700</v>
      </c>
      <c r="E18" s="132">
        <v>2013</v>
      </c>
      <c r="F18" s="118">
        <f t="shared" si="1"/>
        <v>0.3181477596283529</v>
      </c>
      <c r="G18" s="119">
        <v>66.73</v>
      </c>
      <c r="H18" s="119">
        <v>87.96</v>
      </c>
      <c r="I18" s="117">
        <f t="shared" ca="1" si="0"/>
        <v>342.03891411252414</v>
      </c>
      <c r="J18" s="117">
        <f t="shared" ca="1" si="2"/>
        <v>8669.1872375834846</v>
      </c>
      <c r="K18" s="129"/>
      <c r="L18" s="129"/>
      <c r="M18" s="129"/>
      <c r="N18" s="129"/>
      <c r="O18" s="129"/>
      <c r="P18" s="129"/>
      <c r="Q18" s="129"/>
      <c r="R18" s="129"/>
    </row>
    <row r="19" spans="1:18" ht="18" customHeight="1" x14ac:dyDescent="0.4">
      <c r="A19" s="276"/>
      <c r="B19" s="120" t="s">
        <v>229</v>
      </c>
      <c r="C19" s="140">
        <v>12</v>
      </c>
      <c r="E19" s="132">
        <v>2014</v>
      </c>
      <c r="F19" s="118">
        <f t="shared" si="1"/>
        <v>0.17919141160347188</v>
      </c>
      <c r="G19" s="119">
        <v>87.56</v>
      </c>
      <c r="H19" s="119">
        <v>103.25</v>
      </c>
      <c r="I19" s="117">
        <f t="shared" ca="1" si="0"/>
        <v>352.30008153589984</v>
      </c>
      <c r="J19" s="117">
        <f t="shared" ca="1" si="2"/>
        <v>9807.2019056865374</v>
      </c>
      <c r="K19" s="129"/>
      <c r="L19" s="129"/>
      <c r="M19" s="129"/>
      <c r="N19" s="129"/>
      <c r="O19" s="129"/>
      <c r="P19" s="129"/>
      <c r="Q19" s="129"/>
      <c r="R19" s="129"/>
    </row>
    <row r="20" spans="1:18" ht="18" customHeight="1" x14ac:dyDescent="0.4">
      <c r="A20" s="276"/>
      <c r="B20" s="121" t="s">
        <v>240</v>
      </c>
      <c r="C20" s="145">
        <f ca="1">C6-C5</f>
        <v>25</v>
      </c>
      <c r="E20" s="132">
        <v>2015</v>
      </c>
      <c r="F20" s="118">
        <f t="shared" si="1"/>
        <v>7.8064764841942885E-2</v>
      </c>
      <c r="G20" s="119">
        <v>103.76</v>
      </c>
      <c r="H20" s="119">
        <v>111.86</v>
      </c>
      <c r="I20" s="117">
        <f t="shared" ca="1" si="0"/>
        <v>362.86908398197681</v>
      </c>
      <c r="J20" s="117">
        <f t="shared" ca="1" si="2"/>
        <v>10181.602442519968</v>
      </c>
      <c r="K20" s="129"/>
      <c r="L20" s="129"/>
      <c r="M20" s="129"/>
      <c r="N20" s="129"/>
      <c r="O20" s="129"/>
      <c r="P20" s="129"/>
      <c r="Q20" s="129"/>
      <c r="R20" s="129"/>
    </row>
    <row r="21" spans="1:18" ht="18" customHeight="1" x14ac:dyDescent="0.4">
      <c r="A21" s="276"/>
      <c r="B21" s="121" t="s">
        <v>252</v>
      </c>
      <c r="C21" s="146">
        <v>1</v>
      </c>
      <c r="E21" s="132">
        <v>2016</v>
      </c>
      <c r="F21" s="118">
        <f t="shared" si="1"/>
        <v>8.2701270218404427E-2</v>
      </c>
      <c r="G21" s="119">
        <v>109.43</v>
      </c>
      <c r="H21" s="119">
        <v>118.48</v>
      </c>
      <c r="I21" s="117">
        <f t="shared" ca="1" si="0"/>
        <v>373.75515650143609</v>
      </c>
      <c r="J21" s="117">
        <f t="shared" ca="1" si="2"/>
        <v>10618.968714680395</v>
      </c>
      <c r="K21" s="129"/>
      <c r="L21" s="129"/>
      <c r="M21" s="129"/>
      <c r="N21" s="129"/>
      <c r="O21" s="129"/>
      <c r="P21" s="129"/>
      <c r="Q21" s="129"/>
      <c r="R21" s="129"/>
    </row>
    <row r="22" spans="1:18" ht="18" customHeight="1" x14ac:dyDescent="0.4">
      <c r="A22" s="276"/>
      <c r="B22" s="121" t="s">
        <v>249</v>
      </c>
      <c r="C22" s="142">
        <f ca="1">C18+C19*C20</f>
        <v>1000</v>
      </c>
      <c r="E22" s="132">
        <v>2017</v>
      </c>
      <c r="F22" s="118">
        <f t="shared" si="1"/>
        <v>0.30550666331405574</v>
      </c>
      <c r="G22" s="119">
        <v>119.31</v>
      </c>
      <c r="H22" s="119">
        <v>155.76</v>
      </c>
      <c r="I22" s="117">
        <f t="shared" ca="1" si="0"/>
        <v>384.9678111964792</v>
      </c>
      <c r="J22" s="117">
        <f t="shared" ca="1" si="2"/>
        <v>13360.556371860321</v>
      </c>
      <c r="K22" s="129"/>
      <c r="L22" s="129"/>
      <c r="M22" s="129"/>
      <c r="N22" s="129"/>
      <c r="O22" s="129"/>
      <c r="P22" s="129"/>
      <c r="Q22" s="129"/>
      <c r="R22" s="129"/>
    </row>
    <row r="23" spans="1:18" ht="18" customHeight="1" x14ac:dyDescent="0.4">
      <c r="A23" s="276"/>
      <c r="B23" s="121" t="s">
        <v>251</v>
      </c>
      <c r="C23" s="142">
        <f ca="1">$C$18*(1+$C$10*$C$21)^$C$20+FV($C$10*$C$21,$C$20,-$C$19,,1)</f>
        <v>7744.204417744334</v>
      </c>
      <c r="E23" s="132">
        <v>2018</v>
      </c>
      <c r="F23" s="118">
        <f t="shared" si="1"/>
        <v>-1.4313099041533604E-2</v>
      </c>
      <c r="G23" s="119">
        <v>156.5</v>
      </c>
      <c r="H23" s="119">
        <v>154.26</v>
      </c>
      <c r="I23" s="117">
        <f t="shared" ca="1" si="0"/>
        <v>396.51684553237357</v>
      </c>
      <c r="J23" s="117">
        <f t="shared" ca="1" si="2"/>
        <v>12778.483944609261</v>
      </c>
      <c r="K23" s="129"/>
      <c r="L23" s="129"/>
      <c r="M23" s="129"/>
      <c r="N23" s="129"/>
      <c r="O23" s="129"/>
      <c r="P23" s="129"/>
      <c r="Q23" s="129"/>
      <c r="R23" s="129"/>
    </row>
    <row r="24" spans="1:18" ht="18" customHeight="1" x14ac:dyDescent="0.4">
      <c r="A24" s="275" t="s">
        <v>113</v>
      </c>
      <c r="B24" s="115" t="s">
        <v>29</v>
      </c>
      <c r="C24" s="147">
        <v>50</v>
      </c>
      <c r="E24" s="132">
        <v>2019</v>
      </c>
      <c r="F24" s="118">
        <f t="shared" si="1"/>
        <v>0.40810649711901453</v>
      </c>
      <c r="G24" s="119">
        <v>150.99</v>
      </c>
      <c r="H24" s="119">
        <v>212.61</v>
      </c>
      <c r="I24" s="117">
        <f t="shared" ca="1" si="0"/>
        <v>408.41235089834476</v>
      </c>
      <c r="J24" s="117">
        <f t="shared" ca="1" si="2"/>
        <v>17418.378180931704</v>
      </c>
      <c r="K24" s="129"/>
      <c r="L24" s="129"/>
      <c r="M24" s="129"/>
      <c r="N24" s="129"/>
      <c r="O24" s="129"/>
      <c r="P24" s="129"/>
      <c r="Q24" s="129"/>
      <c r="R24" s="129"/>
    </row>
    <row r="25" spans="1:18" ht="18" customHeight="1" x14ac:dyDescent="0.4">
      <c r="A25" s="275"/>
      <c r="B25" s="115" t="s">
        <v>230</v>
      </c>
      <c r="C25" s="142">
        <f ca="1">$C$24*$C$15</f>
        <v>11306.400820132756</v>
      </c>
      <c r="E25" s="132">
        <v>2020</v>
      </c>
      <c r="F25" s="118">
        <f t="shared" si="1"/>
        <v>0.46333955223880596</v>
      </c>
      <c r="G25" s="119">
        <v>214.4</v>
      </c>
      <c r="H25" s="119">
        <v>313.74</v>
      </c>
      <c r="I25" s="117">
        <f t="shared" ca="1" si="0"/>
        <v>420.66472142529506</v>
      </c>
      <c r="J25" s="117">
        <f t="shared" ca="1" si="2"/>
        <v>24873.426402917634</v>
      </c>
      <c r="K25" s="129"/>
      <c r="L25" s="129"/>
      <c r="M25" s="129"/>
      <c r="N25" s="129"/>
      <c r="O25" s="129"/>
      <c r="P25" s="129"/>
      <c r="Q25" s="129"/>
      <c r="R25" s="129"/>
    </row>
    <row r="26" spans="1:18" ht="18" customHeight="1" x14ac:dyDescent="0.4">
      <c r="A26" s="275"/>
      <c r="B26" s="115" t="s">
        <v>242</v>
      </c>
      <c r="C26" s="142">
        <f ca="1">$C$24*$C$15+$C$11+$C$17</f>
        <v>11788.656852938066</v>
      </c>
      <c r="E26" s="132">
        <v>2021</v>
      </c>
      <c r="F26" s="118">
        <f t="shared" si="1"/>
        <v>0.26257497381866651</v>
      </c>
      <c r="G26" s="119">
        <v>315.11</v>
      </c>
      <c r="H26" s="119">
        <v>397.85</v>
      </c>
      <c r="I26" s="117">
        <f t="shared" ca="1" si="0"/>
        <v>433.28466306805393</v>
      </c>
      <c r="J26" s="117">
        <f t="shared" ca="1" si="2"/>
        <v>30857.511317315078</v>
      </c>
      <c r="K26" s="129"/>
      <c r="L26" s="129"/>
      <c r="M26" s="129"/>
      <c r="N26" s="129"/>
      <c r="O26" s="129"/>
      <c r="P26" s="129"/>
      <c r="Q26" s="129"/>
      <c r="R26" s="129"/>
    </row>
    <row r="27" spans="1:18" ht="17" x14ac:dyDescent="0.4">
      <c r="A27" s="275"/>
      <c r="B27" s="115" t="s">
        <v>233</v>
      </c>
      <c r="C27" s="148">
        <f ca="1">C23-C26</f>
        <v>-4044.4524351937316</v>
      </c>
      <c r="E27" s="132">
        <v>2022</v>
      </c>
      <c r="F27" s="118">
        <f t="shared" si="1"/>
        <v>-0.33271519859666715</v>
      </c>
      <c r="G27" s="119">
        <v>399.05</v>
      </c>
      <c r="H27" s="119">
        <v>266.27999999999997</v>
      </c>
      <c r="I27" s="117">
        <f t="shared" ca="1" si="0"/>
        <v>446.28320296009559</v>
      </c>
      <c r="J27" s="117">
        <f t="shared" ca="1" si="2"/>
        <v>20292.950312718818</v>
      </c>
    </row>
    <row r="28" spans="1:18" ht="17" x14ac:dyDescent="0.4">
      <c r="A28" s="275"/>
      <c r="B28" s="115" t="s">
        <v>234</v>
      </c>
      <c r="C28" s="156">
        <v>65</v>
      </c>
      <c r="E28" s="132">
        <v>2023</v>
      </c>
      <c r="F28" s="118">
        <f t="shared" si="1"/>
        <v>0.5243625535082822</v>
      </c>
      <c r="G28" s="119">
        <v>268.64999999999998</v>
      </c>
      <c r="H28" s="119">
        <v>409.52</v>
      </c>
      <c r="I28" s="117">
        <f t="shared" ca="1" si="0"/>
        <v>459.67169904889835</v>
      </c>
      <c r="J28" s="117">
        <f t="shared" ca="1" si="2"/>
        <v>30233.107231975086</v>
      </c>
    </row>
    <row r="29" spans="1:18" ht="15.65" customHeight="1" x14ac:dyDescent="0.4">
      <c r="A29" s="272" t="s">
        <v>254</v>
      </c>
      <c r="B29" s="120" t="s">
        <v>255</v>
      </c>
      <c r="C29" s="138">
        <f ca="1">$J$29/C25</f>
        <v>3.3156208059521526</v>
      </c>
      <c r="E29" s="132">
        <v>2024</v>
      </c>
      <c r="F29" s="118">
        <f t="shared" ref="F29" si="3">IFERROR((H29-G29)/G29,0)</f>
        <v>0.25968361916026034</v>
      </c>
      <c r="G29" s="119">
        <v>405.84</v>
      </c>
      <c r="H29" s="119">
        <v>511.23</v>
      </c>
      <c r="I29" s="117">
        <f t="shared" ca="1" si="0"/>
        <v>473.46185002036532</v>
      </c>
      <c r="J29" s="117">
        <f t="shared" ca="1" si="2"/>
        <v>37487.737799666647</v>
      </c>
    </row>
    <row r="30" spans="1:18" ht="15.65" customHeight="1" x14ac:dyDescent="0.4">
      <c r="A30" s="272"/>
      <c r="B30" s="120" t="s">
        <v>253</v>
      </c>
      <c r="C30" s="138">
        <f ca="1">($C$29)^(1/$C$9)-1</f>
        <v>4.7661088550683184E-2</v>
      </c>
      <c r="E30" s="151" t="s">
        <v>243</v>
      </c>
      <c r="F30" s="269" t="s">
        <v>263</v>
      </c>
      <c r="G30" s="270"/>
      <c r="H30" s="270"/>
      <c r="I30" s="270"/>
      <c r="J30" s="271"/>
    </row>
    <row r="34" spans="2:2" ht="15.65" customHeight="1" x14ac:dyDescent="0.4">
      <c r="B34" s="158"/>
    </row>
  </sheetData>
  <sheetProtection formatCells="0" formatColumns="0" formatRows="0"/>
  <mergeCells count="15">
    <mergeCell ref="F30:J30"/>
    <mergeCell ref="A29:A30"/>
    <mergeCell ref="G1:G2"/>
    <mergeCell ref="H1:H2"/>
    <mergeCell ref="I1:J1"/>
    <mergeCell ref="A11:A17"/>
    <mergeCell ref="A24:A28"/>
    <mergeCell ref="A18:A23"/>
    <mergeCell ref="E1:E2"/>
    <mergeCell ref="F1:F2"/>
    <mergeCell ref="A1:A2"/>
    <mergeCell ref="B1:B2"/>
    <mergeCell ref="C1:C2"/>
    <mergeCell ref="A8:A10"/>
    <mergeCell ref="A3:A7"/>
  </mergeCells>
  <phoneticPr fontId="6" type="noConversion"/>
  <conditionalFormatting sqref="I3:J29">
    <cfRule type="cellIs" dxfId="14" priority="3" operator="lessThan">
      <formula>0</formula>
    </cfRule>
  </conditionalFormatting>
  <conditionalFormatting sqref="C27">
    <cfRule type="cellIs" dxfId="13" priority="2" operator="lessThan">
      <formula>0</formula>
    </cfRule>
  </conditionalFormatting>
  <conditionalFormatting sqref="F4:F29">
    <cfRule type="cellIs" dxfId="12" priority="1" operator="lessThan">
      <formula>0</formula>
    </cfRule>
  </conditionalFormatting>
  <pageMargins left="0.7" right="0.7" top="0.75" bottom="0.75" header="0.3" footer="0.3"/>
  <pageSetup orientation="portrait" r:id="rId1"/>
  <headerFooter>
    <oddFooter>&amp;C&amp;"Helvetica Neue,Regular"&amp;12&amp;K000000&amp;P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5" r:id="rId4" name="Button 21">
              <controlPr defaultSize="0" print="0" autoFill="0" autoPict="0" macro="[0]!CalcFIRE">
                <anchor moveWithCells="1" sizeWithCells="1">
                  <from>
                    <xdr:col>1</xdr:col>
                    <xdr:colOff>819150</xdr:colOff>
                    <xdr:row>27</xdr:row>
                    <xdr:rowOff>31750</xdr:rowOff>
                  </from>
                  <to>
                    <xdr:col>1</xdr:col>
                    <xdr:colOff>1409700</xdr:colOff>
                    <xdr:row>27</xdr:row>
                    <xdr:rowOff>292100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工作表8">
    <outlinePr summaryBelow="0" summaryRight="0"/>
  </sheetPr>
  <dimension ref="A1:Z44"/>
  <sheetViews>
    <sheetView showGridLines="0" zoomScale="70" zoomScaleNormal="70" workbookViewId="0">
      <pane xSplit="4" ySplit="2" topLeftCell="E18" activePane="bottomRight" state="frozen"/>
      <selection pane="topRight" activeCell="E1" sqref="E1"/>
      <selection pane="bottomLeft" activeCell="A3" sqref="A3"/>
      <selection pane="bottomRight" activeCell="C8" sqref="C8"/>
    </sheetView>
  </sheetViews>
  <sheetFormatPr defaultColWidth="9.6328125" defaultRowHeight="15.65" customHeight="1" x14ac:dyDescent="0.4"/>
  <cols>
    <col min="1" max="1" width="4.08984375" style="159" customWidth="1"/>
    <col min="2" max="2" width="13.453125" style="125" bestFit="1" customWidth="1"/>
    <col min="3" max="3" width="11.26953125" style="192" bestFit="1" customWidth="1"/>
    <col min="4" max="4" width="0.81640625" style="160" customWidth="1"/>
    <col min="5" max="5" width="5.90625" style="207" bestFit="1" customWidth="1"/>
    <col min="6" max="6" width="8.54296875" style="193" bestFit="1" customWidth="1"/>
    <col min="7" max="8" width="11.26953125" style="193" bestFit="1" customWidth="1"/>
    <col min="9" max="9" width="8.54296875" style="193" bestFit="1" customWidth="1"/>
    <col min="10" max="10" width="10.08984375" style="193" bestFit="1" customWidth="1"/>
    <col min="11" max="11" width="8.1796875" style="194" bestFit="1" customWidth="1"/>
    <col min="12" max="12" width="8.90625" style="189" bestFit="1" customWidth="1"/>
    <col min="13" max="13" width="9.453125" style="177" bestFit="1" customWidth="1"/>
    <col min="14" max="15" width="11.26953125" style="183" bestFit="1" customWidth="1"/>
    <col min="16" max="16" width="8.90625" style="189" bestFit="1" customWidth="1"/>
    <col min="17" max="17" width="9.453125" style="177" bestFit="1" customWidth="1"/>
    <col min="18" max="21" width="11.26953125" style="183" bestFit="1" customWidth="1"/>
    <col min="22" max="27" width="9.6328125" style="112" customWidth="1"/>
    <col min="28" max="16384" width="9.6328125" style="112"/>
  </cols>
  <sheetData>
    <row r="1" spans="1:26" ht="20" customHeight="1" x14ac:dyDescent="0.4">
      <c r="A1" s="291" t="s">
        <v>36</v>
      </c>
      <c r="B1" s="280" t="s">
        <v>98</v>
      </c>
      <c r="C1" s="293" t="s">
        <v>26</v>
      </c>
      <c r="E1" s="292" t="s">
        <v>23</v>
      </c>
      <c r="F1" s="161" t="s">
        <v>57</v>
      </c>
      <c r="G1" s="161"/>
      <c r="H1" s="162"/>
      <c r="I1" s="163" t="s">
        <v>50</v>
      </c>
      <c r="J1" s="164"/>
      <c r="K1" s="165"/>
      <c r="L1" s="245" t="s">
        <v>4</v>
      </c>
      <c r="M1" s="294"/>
      <c r="N1" s="294"/>
      <c r="O1" s="246"/>
      <c r="P1" s="288" t="s">
        <v>5</v>
      </c>
      <c r="Q1" s="289"/>
      <c r="R1" s="289"/>
      <c r="S1" s="290"/>
      <c r="T1" s="286" t="s">
        <v>40</v>
      </c>
      <c r="U1" s="287"/>
    </row>
    <row r="2" spans="1:26" ht="20" customHeight="1" x14ac:dyDescent="0.4">
      <c r="A2" s="291"/>
      <c r="B2" s="280"/>
      <c r="C2" s="293"/>
      <c r="E2" s="292"/>
      <c r="F2" s="166" t="s">
        <v>49</v>
      </c>
      <c r="G2" s="166" t="s">
        <v>52</v>
      </c>
      <c r="H2" s="166" t="s">
        <v>259</v>
      </c>
      <c r="I2" s="167" t="s">
        <v>53</v>
      </c>
      <c r="J2" s="167" t="s">
        <v>56</v>
      </c>
      <c r="K2" s="168" t="s">
        <v>48</v>
      </c>
      <c r="L2" s="169" t="s">
        <v>104</v>
      </c>
      <c r="M2" s="170" t="s">
        <v>105</v>
      </c>
      <c r="N2" s="169" t="s">
        <v>55</v>
      </c>
      <c r="O2" s="169" t="s">
        <v>106</v>
      </c>
      <c r="P2" s="171" t="s">
        <v>104</v>
      </c>
      <c r="Q2" s="171" t="s">
        <v>105</v>
      </c>
      <c r="R2" s="171" t="s">
        <v>55</v>
      </c>
      <c r="S2" s="171" t="s">
        <v>54</v>
      </c>
      <c r="T2" s="169" t="s">
        <v>55</v>
      </c>
      <c r="U2" s="169" t="s">
        <v>54</v>
      </c>
    </row>
    <row r="3" spans="1:26" s="116" customFormat="1" ht="17" customHeight="1" x14ac:dyDescent="0.4">
      <c r="A3" s="283" t="s">
        <v>34</v>
      </c>
      <c r="B3" s="115" t="s">
        <v>51</v>
      </c>
      <c r="C3" s="42">
        <v>0.03</v>
      </c>
      <c r="D3" s="172"/>
      <c r="E3" s="207" t="s">
        <v>131</v>
      </c>
      <c r="F3" s="173"/>
      <c r="G3" s="174">
        <f>N3+S3+U3</f>
        <v>6000</v>
      </c>
      <c r="H3" s="173"/>
      <c r="I3" s="175"/>
      <c r="J3" s="176"/>
      <c r="K3" s="176"/>
      <c r="L3" s="173"/>
      <c r="M3" s="177">
        <v>50.96</v>
      </c>
      <c r="N3" s="178">
        <f>IF($C$21="否",$C$13*$C$17,$C$12*$C$17)</f>
        <v>2400</v>
      </c>
      <c r="O3" s="173"/>
      <c r="P3" s="173"/>
      <c r="Q3" s="177">
        <v>4.3099999999999996</v>
      </c>
      <c r="R3" s="178">
        <f>IF($C$21="否",$C$13*$C$18,$C$12*$C$18)</f>
        <v>1800</v>
      </c>
      <c r="S3" s="178">
        <f>R3</f>
        <v>1800</v>
      </c>
      <c r="T3" s="178">
        <f>IF($C$21="否",$C$13*$C$19,$C$12*$C$19)</f>
        <v>1800</v>
      </c>
      <c r="U3" s="178">
        <f>T3</f>
        <v>1800</v>
      </c>
      <c r="V3" s="179"/>
      <c r="W3" s="179"/>
      <c r="X3" s="179"/>
      <c r="Y3" s="179"/>
      <c r="Z3" s="179"/>
    </row>
    <row r="4" spans="1:26" ht="18" customHeight="1" x14ac:dyDescent="0.4">
      <c r="A4" s="284"/>
      <c r="B4" s="115" t="s">
        <v>28</v>
      </c>
      <c r="C4" s="43">
        <v>0</v>
      </c>
      <c r="D4" s="172"/>
      <c r="E4" s="207">
        <v>1999</v>
      </c>
      <c r="F4" s="180">
        <f>IF($C$21="是",$C$10*(1+$C$3)^($E4-$E$4),0)</f>
        <v>0</v>
      </c>
      <c r="G4" s="180">
        <f t="shared" ref="G4" si="0">O4+S4+U4</f>
        <v>11915.777166646825</v>
      </c>
      <c r="H4" s="117">
        <f t="shared" ref="H4:H29" si="1">G4-J4</f>
        <v>11915.777166646825</v>
      </c>
      <c r="I4" s="117">
        <f t="shared" ref="I4:I5" si="2">IF($C$14="是",(F4+J3)*$C$15,0)</f>
        <v>0</v>
      </c>
      <c r="J4" s="117">
        <f t="shared" ref="J4:J5" si="3">IF($C$14="是",J3+F4+I4,0)</f>
        <v>0</v>
      </c>
      <c r="K4" s="181" t="str">
        <f t="shared" ref="K4:K5" si="4">IF(J4=0,"",G4/J4)</f>
        <v/>
      </c>
      <c r="L4" s="182">
        <f t="shared" ref="L4:L5" si="5">(M4-M3)/M3</f>
        <v>0.79317111459968592</v>
      </c>
      <c r="M4" s="177">
        <v>91.38</v>
      </c>
      <c r="N4" s="183">
        <f t="shared" ref="N4:N5" si="6">N3*(1+L4)-IF(AND($C$14="否",$C$19=0),F4)</f>
        <v>4303.6106750392455</v>
      </c>
      <c r="O4" s="183">
        <f t="shared" ref="O4:O5" si="7">IF($C$20=3,(N4+T4)*$C$17,N4)</f>
        <v>4303.6106750392455</v>
      </c>
      <c r="P4" s="182">
        <f t="shared" ref="P4:P5" si="8">(Q4-Q3)/Q3</f>
        <v>2.2289813842264334</v>
      </c>
      <c r="Q4" s="177">
        <v>13.916909766015927</v>
      </c>
      <c r="R4" s="183">
        <f t="shared" ref="R4:R5" si="9">S3*(1+P4)</f>
        <v>5812.1664916075806</v>
      </c>
      <c r="S4" s="180">
        <f t="shared" ref="S4:S5" si="10">IF($C$20=1,IF(P4&lt;0,R4+$C$24,R4-(R4-S3)*$C$23),IF($C$20=2,(R4+T4)/2,R4))</f>
        <v>4608.5165441253066</v>
      </c>
      <c r="T4" s="180">
        <f t="shared" ref="T4:T5" si="11">U3-IF(AND($C$19&gt;0,$C$14="否"),F4)</f>
        <v>1800</v>
      </c>
      <c r="U4" s="180">
        <f t="shared" ref="U4:U5" si="12">IF($C$20=3,(N4+T4)*$C$19,IF($C$20=2,(R4+T4)/2,IF($C$20=1,IF(P4&lt;0,T4-$C$24,T4+(R4-R3)*$C$23),T4)))</f>
        <v>3003.649947482274</v>
      </c>
      <c r="V4" s="184"/>
      <c r="W4" s="184"/>
      <c r="X4" s="185"/>
      <c r="Y4" s="185"/>
      <c r="Z4" s="185"/>
    </row>
    <row r="5" spans="1:26" ht="18" customHeight="1" x14ac:dyDescent="0.4">
      <c r="A5" s="284"/>
      <c r="B5" s="186" t="s">
        <v>38</v>
      </c>
      <c r="C5" s="45">
        <v>0</v>
      </c>
      <c r="E5" s="207">
        <v>2000</v>
      </c>
      <c r="F5" s="180">
        <f t="shared" ref="F5:F29" si="13">IF($C$21="是",$C$10*(1+$C$3)^($E5-$E$4),0)</f>
        <v>0</v>
      </c>
      <c r="G5" s="180">
        <f>O5+S5+U5</f>
        <v>7461.3963751324045</v>
      </c>
      <c r="H5" s="117">
        <f t="shared" si="1"/>
        <v>7461.3963751324045</v>
      </c>
      <c r="I5" s="117">
        <f t="shared" si="2"/>
        <v>0</v>
      </c>
      <c r="J5" s="117">
        <f t="shared" si="3"/>
        <v>0</v>
      </c>
      <c r="K5" s="181" t="str">
        <f t="shared" si="4"/>
        <v/>
      </c>
      <c r="L5" s="182">
        <f t="shared" si="5"/>
        <v>-0.36112934996717</v>
      </c>
      <c r="M5" s="177">
        <v>58.38</v>
      </c>
      <c r="N5" s="183">
        <f t="shared" si="6"/>
        <v>2749.4505494505493</v>
      </c>
      <c r="O5" s="183">
        <f t="shared" si="7"/>
        <v>2749.4505494505493</v>
      </c>
      <c r="P5" s="182">
        <f t="shared" si="8"/>
        <v>-0.62931762057418961</v>
      </c>
      <c r="Q5" s="177">
        <v>5.1587532263210818</v>
      </c>
      <c r="R5" s="183">
        <f t="shared" si="9"/>
        <v>1708.2958781995815</v>
      </c>
      <c r="S5" s="180">
        <f t="shared" si="10"/>
        <v>1828.2958781995815</v>
      </c>
      <c r="T5" s="180">
        <f t="shared" si="11"/>
        <v>3003.649947482274</v>
      </c>
      <c r="U5" s="180">
        <f t="shared" si="12"/>
        <v>2883.649947482274</v>
      </c>
      <c r="V5" s="184"/>
      <c r="W5" s="184"/>
      <c r="X5" s="185"/>
      <c r="Y5" s="185"/>
      <c r="Z5" s="185"/>
    </row>
    <row r="6" spans="1:26" ht="18" customHeight="1" x14ac:dyDescent="0.4">
      <c r="A6" s="284"/>
      <c r="B6" s="186" t="s">
        <v>108</v>
      </c>
      <c r="C6" s="44">
        <v>0</v>
      </c>
      <c r="E6" s="207">
        <v>2001</v>
      </c>
      <c r="F6" s="180">
        <f t="shared" si="13"/>
        <v>0</v>
      </c>
      <c r="G6" s="180">
        <f t="shared" ref="G6:G29" si="14">O6+S6+U6</f>
        <v>5550.863226036503</v>
      </c>
      <c r="H6" s="117">
        <f t="shared" si="1"/>
        <v>5550.863226036503</v>
      </c>
      <c r="I6" s="117">
        <f t="shared" ref="I6:I29" si="15">IF($C$14="是",(F6+J5)*$C$15,0)</f>
        <v>0</v>
      </c>
      <c r="J6" s="117">
        <f t="shared" ref="J6:J29" si="16">IF($C$14="是",J5+F6+I6,0)</f>
        <v>0</v>
      </c>
      <c r="K6" s="181" t="str">
        <f t="shared" ref="K6:K29" si="17">IF(J6=0,"",G6/J6)</f>
        <v/>
      </c>
      <c r="L6" s="182">
        <f t="shared" ref="L6:L29" si="18">(M6-M5)/M5</f>
        <v>-0.33350462487153143</v>
      </c>
      <c r="M6" s="177">
        <v>38.909999999999997</v>
      </c>
      <c r="N6" s="183">
        <f t="shared" ref="N6:N29" si="19">N5*(1+L6)-IF(AND($C$14="否",$C$19=0),F6)</f>
        <v>1832.4960753532177</v>
      </c>
      <c r="O6" s="183">
        <f t="shared" ref="O6:O29" si="20">IF($C$20=3,(N6+T6)*$C$17,N6)</f>
        <v>1832.4960753532177</v>
      </c>
      <c r="P6" s="182">
        <f t="shared" ref="P6:P29" si="21">(Q6-Q5)/Q5</f>
        <v>-0.54344523052636262</v>
      </c>
      <c r="Q6" s="177">
        <v>2.3552533900144046</v>
      </c>
      <c r="R6" s="183">
        <f t="shared" ref="R6:R29" si="22">S5*(1+P6)</f>
        <v>834.71720320101133</v>
      </c>
      <c r="S6" s="180">
        <f t="shared" ref="S6:S29" si="23">IF($C$20=1,IF(P6&lt;0,R6+$C$24,R6-(R6-S5)*$C$23),IF($C$20=2,(R6+T6)/2,R6))</f>
        <v>954.71720320101133</v>
      </c>
      <c r="T6" s="180">
        <f t="shared" ref="T6:T29" si="24">U5-IF(AND($C$19&gt;0,$C$14="否"),F6)</f>
        <v>2883.649947482274</v>
      </c>
      <c r="U6" s="180">
        <f t="shared" ref="U6:U29" si="25">IF($C$20=3,(N6+T6)*$C$19,IF($C$20=2,(R6+T6)/2,IF($C$20=1,IF(P6&lt;0,T6-$C$24,T6+(R6-R5)*$C$23),T6)))</f>
        <v>2763.649947482274</v>
      </c>
      <c r="V6" s="184"/>
      <c r="W6" s="184"/>
      <c r="X6" s="185"/>
      <c r="Y6" s="185"/>
      <c r="Z6" s="185"/>
    </row>
    <row r="7" spans="1:26" ht="18" customHeight="1" x14ac:dyDescent="0.4">
      <c r="A7" s="284"/>
      <c r="B7" s="187" t="s">
        <v>39</v>
      </c>
      <c r="C7" s="44">
        <v>10</v>
      </c>
      <c r="E7" s="207">
        <v>2002</v>
      </c>
      <c r="F7" s="180">
        <f t="shared" si="13"/>
        <v>0</v>
      </c>
      <c r="G7" s="180">
        <f t="shared" si="14"/>
        <v>4283.9708167379749</v>
      </c>
      <c r="H7" s="117">
        <f t="shared" si="1"/>
        <v>4283.9708167379749</v>
      </c>
      <c r="I7" s="117">
        <f t="shared" si="15"/>
        <v>0</v>
      </c>
      <c r="J7" s="117">
        <f t="shared" si="16"/>
        <v>0</v>
      </c>
      <c r="K7" s="181" t="str">
        <f t="shared" si="17"/>
        <v/>
      </c>
      <c r="L7" s="182">
        <f t="shared" si="18"/>
        <v>-0.37368285787715233</v>
      </c>
      <c r="M7" s="177">
        <v>24.37</v>
      </c>
      <c r="N7" s="183">
        <f t="shared" si="19"/>
        <v>1147.723704866562</v>
      </c>
      <c r="O7" s="183">
        <f t="shared" si="20"/>
        <v>1147.723704866562</v>
      </c>
      <c r="P7" s="182">
        <f t="shared" si="21"/>
        <v>-0.60973033361095708</v>
      </c>
      <c r="Q7" s="177">
        <v>0.91918395478258419</v>
      </c>
      <c r="R7" s="183">
        <f t="shared" si="22"/>
        <v>372.59716438913881</v>
      </c>
      <c r="S7" s="180">
        <f t="shared" si="23"/>
        <v>492.59716438913881</v>
      </c>
      <c r="T7" s="180">
        <f t="shared" si="24"/>
        <v>2763.649947482274</v>
      </c>
      <c r="U7" s="180">
        <f t="shared" si="25"/>
        <v>2643.649947482274</v>
      </c>
      <c r="V7" s="184"/>
      <c r="W7" s="184"/>
      <c r="X7" s="185"/>
      <c r="Y7" s="185"/>
      <c r="Z7" s="185"/>
    </row>
    <row r="8" spans="1:26" ht="18" customHeight="1" x14ac:dyDescent="0.4">
      <c r="A8" s="284"/>
      <c r="B8" s="187" t="s">
        <v>37</v>
      </c>
      <c r="C8" s="95">
        <f>C7*12</f>
        <v>120</v>
      </c>
      <c r="E8" s="207">
        <v>2003</v>
      </c>
      <c r="F8" s="180">
        <f t="shared" si="13"/>
        <v>0</v>
      </c>
      <c r="G8" s="180">
        <f t="shared" si="14"/>
        <v>5480.1392051067924</v>
      </c>
      <c r="H8" s="117">
        <f t="shared" si="1"/>
        <v>5480.1392051067924</v>
      </c>
      <c r="I8" s="117">
        <f t="shared" si="15"/>
        <v>0</v>
      </c>
      <c r="J8" s="117">
        <f t="shared" si="16"/>
        <v>0</v>
      </c>
      <c r="K8" s="181" t="str">
        <f t="shared" si="17"/>
        <v/>
      </c>
      <c r="L8" s="182">
        <f t="shared" si="18"/>
        <v>0.49610176446450549</v>
      </c>
      <c r="M8" s="177">
        <v>36.46</v>
      </c>
      <c r="N8" s="183">
        <f t="shared" si="19"/>
        <v>1717.1114599686027</v>
      </c>
      <c r="O8" s="183">
        <f t="shared" si="20"/>
        <v>1717.1114599686027</v>
      </c>
      <c r="P8" s="182">
        <f t="shared" si="21"/>
        <v>1.199317974149108</v>
      </c>
      <c r="Q8" s="177">
        <v>2.0215777933027983</v>
      </c>
      <c r="R8" s="183">
        <f t="shared" si="22"/>
        <v>1083.3777976559159</v>
      </c>
      <c r="S8" s="180">
        <f t="shared" si="23"/>
        <v>906.14360767588278</v>
      </c>
      <c r="T8" s="180">
        <f t="shared" si="24"/>
        <v>2643.649947482274</v>
      </c>
      <c r="U8" s="180">
        <f t="shared" si="25"/>
        <v>2856.8841374623071</v>
      </c>
      <c r="V8" s="184"/>
      <c r="W8" s="184"/>
      <c r="X8" s="185"/>
      <c r="Y8" s="185"/>
      <c r="Z8" s="185"/>
    </row>
    <row r="9" spans="1:26" ht="18" customHeight="1" x14ac:dyDescent="0.4">
      <c r="A9" s="284"/>
      <c r="B9" s="186" t="s">
        <v>99</v>
      </c>
      <c r="C9" s="96">
        <f>IF($C$21="否",0,IF(C7&gt;C5+C6,C7-C5-C6,0))</f>
        <v>0</v>
      </c>
      <c r="E9" s="207">
        <v>2004</v>
      </c>
      <c r="F9" s="180">
        <f t="shared" si="13"/>
        <v>0</v>
      </c>
      <c r="G9" s="180">
        <f t="shared" si="14"/>
        <v>5767.4146655509503</v>
      </c>
      <c r="H9" s="117">
        <f t="shared" si="1"/>
        <v>5767.4146655509503</v>
      </c>
      <c r="I9" s="117">
        <f t="shared" si="15"/>
        <v>0</v>
      </c>
      <c r="J9" s="117">
        <f t="shared" si="16"/>
        <v>0</v>
      </c>
      <c r="K9" s="181" t="str">
        <f t="shared" si="17"/>
        <v/>
      </c>
      <c r="L9" s="182">
        <f t="shared" si="18"/>
        <v>9.4898518924849171E-2</v>
      </c>
      <c r="M9" s="177">
        <v>39.92</v>
      </c>
      <c r="N9" s="183">
        <f t="shared" si="19"/>
        <v>1880.0627943485088</v>
      </c>
      <c r="O9" s="183">
        <f t="shared" si="20"/>
        <v>1880.0627943485088</v>
      </c>
      <c r="P9" s="182">
        <f t="shared" si="21"/>
        <v>0.19587886683161318</v>
      </c>
      <c r="Q9" s="177">
        <v>2.4175621606669035</v>
      </c>
      <c r="R9" s="183">
        <f t="shared" si="22"/>
        <v>1083.6379907341445</v>
      </c>
      <c r="S9" s="180">
        <f t="shared" si="23"/>
        <v>1030.3896758166661</v>
      </c>
      <c r="T9" s="180">
        <f t="shared" si="24"/>
        <v>2856.8841374623071</v>
      </c>
      <c r="U9" s="180">
        <f t="shared" si="25"/>
        <v>2856.9621953857759</v>
      </c>
      <c r="V9" s="184"/>
      <c r="W9" s="184"/>
      <c r="X9" s="185"/>
      <c r="Y9" s="185"/>
      <c r="Z9" s="185"/>
    </row>
    <row r="10" spans="1:26" ht="18" customHeight="1" x14ac:dyDescent="0.4">
      <c r="A10" s="285"/>
      <c r="B10" s="186" t="s">
        <v>100</v>
      </c>
      <c r="C10" s="96">
        <f>IF($C$21="否",0,C9*12)</f>
        <v>0</v>
      </c>
      <c r="E10" s="207">
        <v>2005</v>
      </c>
      <c r="F10" s="180">
        <f t="shared" si="13"/>
        <v>0</v>
      </c>
      <c r="G10" s="180">
        <f t="shared" si="14"/>
        <v>5803.5043911302964</v>
      </c>
      <c r="H10" s="117">
        <f t="shared" si="1"/>
        <v>5803.5043911302964</v>
      </c>
      <c r="I10" s="117">
        <f t="shared" si="15"/>
        <v>0</v>
      </c>
      <c r="J10" s="117">
        <f t="shared" si="16"/>
        <v>0</v>
      </c>
      <c r="K10" s="181" t="str">
        <f t="shared" si="17"/>
        <v/>
      </c>
      <c r="L10" s="182">
        <f t="shared" si="18"/>
        <v>1.2274549098196265E-2</v>
      </c>
      <c r="M10" s="177">
        <v>40.409999999999997</v>
      </c>
      <c r="N10" s="183">
        <f t="shared" si="19"/>
        <v>1903.1397174254319</v>
      </c>
      <c r="O10" s="183">
        <f t="shared" si="20"/>
        <v>1903.1397174254319</v>
      </c>
      <c r="P10" s="182">
        <f t="shared" si="21"/>
        <v>2.8132363568852164E-2</v>
      </c>
      <c r="Q10" s="177">
        <v>2.4855738983210847</v>
      </c>
      <c r="R10" s="183">
        <f t="shared" si="22"/>
        <v>1059.3769727943322</v>
      </c>
      <c r="S10" s="180">
        <f t="shared" si="23"/>
        <v>1050.6807837010324</v>
      </c>
      <c r="T10" s="180">
        <f t="shared" si="24"/>
        <v>2856.9621953857759</v>
      </c>
      <c r="U10" s="180">
        <f t="shared" si="25"/>
        <v>2849.6838900038324</v>
      </c>
      <c r="V10" s="184"/>
      <c r="W10" s="184"/>
      <c r="X10" s="185"/>
      <c r="Y10" s="185"/>
      <c r="Z10" s="185"/>
    </row>
    <row r="11" spans="1:26" ht="18" customHeight="1" x14ac:dyDescent="0.4">
      <c r="A11" s="283" t="s">
        <v>35</v>
      </c>
      <c r="B11" s="115" t="s">
        <v>29</v>
      </c>
      <c r="C11" s="46">
        <v>50</v>
      </c>
      <c r="E11" s="207">
        <v>2006</v>
      </c>
      <c r="F11" s="180">
        <f t="shared" si="13"/>
        <v>0</v>
      </c>
      <c r="G11" s="180">
        <f t="shared" si="14"/>
        <v>5972.9658287243074</v>
      </c>
      <c r="H11" s="117">
        <f t="shared" si="1"/>
        <v>5972.9658287243074</v>
      </c>
      <c r="I11" s="117">
        <f t="shared" si="15"/>
        <v>0</v>
      </c>
      <c r="J11" s="117">
        <f t="shared" si="16"/>
        <v>0</v>
      </c>
      <c r="K11" s="181" t="str">
        <f t="shared" si="17"/>
        <v/>
      </c>
      <c r="L11" s="182">
        <f t="shared" si="18"/>
        <v>6.8052462261816382E-2</v>
      </c>
      <c r="M11" s="177">
        <v>43.16</v>
      </c>
      <c r="N11" s="183">
        <f t="shared" si="19"/>
        <v>2032.6530612244899</v>
      </c>
      <c r="O11" s="183">
        <f t="shared" si="20"/>
        <v>2032.6530612244899</v>
      </c>
      <c r="P11" s="182">
        <f t="shared" si="21"/>
        <v>4.0504167567465429E-2</v>
      </c>
      <c r="Q11" s="177">
        <v>2.5862500000000002</v>
      </c>
      <c r="R11" s="183">
        <f t="shared" si="22"/>
        <v>1093.2377342239747</v>
      </c>
      <c r="S11" s="180">
        <f t="shared" si="23"/>
        <v>1080.4706490670919</v>
      </c>
      <c r="T11" s="180">
        <f t="shared" si="24"/>
        <v>2849.6838900038324</v>
      </c>
      <c r="U11" s="180">
        <f t="shared" si="25"/>
        <v>2859.8421184327253</v>
      </c>
      <c r="V11" s="184"/>
      <c r="W11" s="184"/>
      <c r="X11" s="185"/>
      <c r="Y11" s="185"/>
      <c r="Z11" s="185"/>
    </row>
    <row r="12" spans="1:26" ht="18" customHeight="1" x14ac:dyDescent="0.4">
      <c r="A12" s="284"/>
      <c r="B12" s="115" t="s">
        <v>115</v>
      </c>
      <c r="C12" s="97">
        <f>C11*C10</f>
        <v>0</v>
      </c>
      <c r="E12" s="207">
        <v>2007</v>
      </c>
      <c r="F12" s="180">
        <f t="shared" si="13"/>
        <v>0</v>
      </c>
      <c r="G12" s="180">
        <f t="shared" si="14"/>
        <v>6565.9705510341746</v>
      </c>
      <c r="H12" s="117">
        <f t="shared" si="1"/>
        <v>6565.9705510341746</v>
      </c>
      <c r="I12" s="117">
        <f t="shared" si="15"/>
        <v>0</v>
      </c>
      <c r="J12" s="117">
        <f t="shared" si="16"/>
        <v>0</v>
      </c>
      <c r="K12" s="181" t="str">
        <f t="shared" si="17"/>
        <v/>
      </c>
      <c r="L12" s="182">
        <f t="shared" si="18"/>
        <v>0.1867469879518073</v>
      </c>
      <c r="M12" s="177">
        <v>51.22</v>
      </c>
      <c r="N12" s="183">
        <f t="shared" si="19"/>
        <v>2412.2448979591841</v>
      </c>
      <c r="O12" s="183">
        <f t="shared" si="20"/>
        <v>2412.2448979591841</v>
      </c>
      <c r="P12" s="182">
        <f t="shared" si="21"/>
        <v>0.20106331561140647</v>
      </c>
      <c r="Q12" s="177">
        <v>3.1062500000000002</v>
      </c>
      <c r="R12" s="183">
        <f t="shared" si="22"/>
        <v>1297.7136601893299</v>
      </c>
      <c r="S12" s="180">
        <f t="shared" si="23"/>
        <v>1232.5407568526584</v>
      </c>
      <c r="T12" s="180">
        <f t="shared" si="24"/>
        <v>2859.8421184327253</v>
      </c>
      <c r="U12" s="180">
        <f t="shared" si="25"/>
        <v>2921.1848962223321</v>
      </c>
      <c r="V12" s="184"/>
      <c r="W12" s="184"/>
      <c r="X12" s="185"/>
      <c r="Y12" s="185"/>
      <c r="Z12" s="185"/>
    </row>
    <row r="13" spans="1:26" ht="18" customHeight="1" x14ac:dyDescent="0.4">
      <c r="A13" s="284"/>
      <c r="B13" s="186" t="s">
        <v>84</v>
      </c>
      <c r="C13" s="43">
        <v>6000</v>
      </c>
      <c r="E13" s="207">
        <v>2008</v>
      </c>
      <c r="F13" s="180">
        <f t="shared" si="13"/>
        <v>0</v>
      </c>
      <c r="G13" s="180">
        <f t="shared" si="14"/>
        <v>4657.5995972081228</v>
      </c>
      <c r="H13" s="117">
        <f t="shared" si="1"/>
        <v>4657.5995972081228</v>
      </c>
      <c r="I13" s="117">
        <f t="shared" si="15"/>
        <v>0</v>
      </c>
      <c r="J13" s="117">
        <f t="shared" si="16"/>
        <v>0</v>
      </c>
      <c r="K13" s="181" t="str">
        <f t="shared" si="17"/>
        <v/>
      </c>
      <c r="L13" s="182">
        <f t="shared" si="18"/>
        <v>-0.41936743459586101</v>
      </c>
      <c r="M13" s="177">
        <v>29.74</v>
      </c>
      <c r="N13" s="183">
        <f t="shared" si="19"/>
        <v>1400.6279434850865</v>
      </c>
      <c r="O13" s="183">
        <f t="shared" si="20"/>
        <v>1400.6279434850865</v>
      </c>
      <c r="P13" s="182">
        <f t="shared" si="21"/>
        <v>-0.72756539235412476</v>
      </c>
      <c r="Q13" s="177">
        <v>0.84624999999999995</v>
      </c>
      <c r="R13" s="183">
        <f t="shared" si="22"/>
        <v>335.78675750070408</v>
      </c>
      <c r="S13" s="180">
        <f t="shared" si="23"/>
        <v>455.78675750070408</v>
      </c>
      <c r="T13" s="180">
        <f t="shared" si="24"/>
        <v>2921.1848962223321</v>
      </c>
      <c r="U13" s="180">
        <f t="shared" si="25"/>
        <v>2801.1848962223321</v>
      </c>
      <c r="V13" s="184"/>
      <c r="W13" s="184"/>
      <c r="X13" s="185"/>
      <c r="Y13" s="185"/>
      <c r="Z13" s="185"/>
    </row>
    <row r="14" spans="1:26" ht="18" customHeight="1" x14ac:dyDescent="0.4">
      <c r="A14" s="284"/>
      <c r="B14" s="188" t="s">
        <v>64</v>
      </c>
      <c r="C14" s="47" t="s">
        <v>83</v>
      </c>
      <c r="E14" s="207">
        <v>2009</v>
      </c>
      <c r="F14" s="180">
        <f t="shared" si="13"/>
        <v>0</v>
      </c>
      <c r="G14" s="180">
        <f t="shared" si="14"/>
        <v>6015.653340996334</v>
      </c>
      <c r="H14" s="117">
        <f t="shared" si="1"/>
        <v>6015.653340996334</v>
      </c>
      <c r="I14" s="117">
        <f t="shared" si="15"/>
        <v>0</v>
      </c>
      <c r="J14" s="117">
        <f t="shared" si="16"/>
        <v>0</v>
      </c>
      <c r="K14" s="181" t="str">
        <f t="shared" si="17"/>
        <v/>
      </c>
      <c r="L14" s="182">
        <f t="shared" si="18"/>
        <v>0.53833221250840624</v>
      </c>
      <c r="M14" s="177">
        <v>45.75</v>
      </c>
      <c r="N14" s="183">
        <f t="shared" si="19"/>
        <v>2154.6310832025119</v>
      </c>
      <c r="O14" s="183">
        <f t="shared" si="20"/>
        <v>2154.6310832025119</v>
      </c>
      <c r="P14" s="182">
        <f t="shared" si="21"/>
        <v>1.2463078286558347</v>
      </c>
      <c r="Q14" s="177">
        <v>1.900938</v>
      </c>
      <c r="R14" s="183">
        <f t="shared" si="22"/>
        <v>1023.83736157149</v>
      </c>
      <c r="S14" s="180">
        <f t="shared" si="23"/>
        <v>853.42218035025417</v>
      </c>
      <c r="T14" s="180">
        <f t="shared" si="24"/>
        <v>2801.1848962223321</v>
      </c>
      <c r="U14" s="180">
        <f t="shared" si="25"/>
        <v>3007.6000774435679</v>
      </c>
      <c r="V14" s="184"/>
      <c r="W14" s="184"/>
      <c r="X14" s="185"/>
      <c r="Y14" s="185"/>
      <c r="Z14" s="185"/>
    </row>
    <row r="15" spans="1:26" ht="18" customHeight="1" x14ac:dyDescent="0.4">
      <c r="A15" s="284"/>
      <c r="B15" s="186" t="s">
        <v>46</v>
      </c>
      <c r="C15" s="92">
        <v>0.03</v>
      </c>
      <c r="E15" s="207">
        <v>2010</v>
      </c>
      <c r="F15" s="180">
        <f t="shared" si="13"/>
        <v>0</v>
      </c>
      <c r="G15" s="180">
        <f t="shared" si="14"/>
        <v>6684.6470117864692</v>
      </c>
      <c r="H15" s="117">
        <f t="shared" si="1"/>
        <v>6684.6470117864692</v>
      </c>
      <c r="I15" s="117">
        <f t="shared" si="15"/>
        <v>0</v>
      </c>
      <c r="J15" s="117">
        <f t="shared" si="16"/>
        <v>0</v>
      </c>
      <c r="K15" s="181" t="str">
        <f t="shared" si="17"/>
        <v/>
      </c>
      <c r="L15" s="182">
        <f t="shared" si="18"/>
        <v>0.19038251366120221</v>
      </c>
      <c r="M15" s="177">
        <v>54.46</v>
      </c>
      <c r="N15" s="183">
        <f t="shared" si="19"/>
        <v>2564.8351648351654</v>
      </c>
      <c r="O15" s="183">
        <f t="shared" si="20"/>
        <v>2564.8351648351654</v>
      </c>
      <c r="P15" s="182">
        <f t="shared" si="21"/>
        <v>0.36314282738311299</v>
      </c>
      <c r="Q15" s="177">
        <v>2.5912500000000001</v>
      </c>
      <c r="R15" s="183">
        <f t="shared" si="22"/>
        <v>1163.3363238741065</v>
      </c>
      <c r="S15" s="180">
        <f t="shared" si="23"/>
        <v>1070.3620808169508</v>
      </c>
      <c r="T15" s="180">
        <f t="shared" si="24"/>
        <v>3007.6000774435679</v>
      </c>
      <c r="U15" s="180">
        <f t="shared" si="25"/>
        <v>3049.449766134353</v>
      </c>
      <c r="V15" s="184"/>
      <c r="W15" s="184"/>
      <c r="X15" s="185"/>
      <c r="Y15" s="185"/>
      <c r="Z15" s="185"/>
    </row>
    <row r="16" spans="1:26" ht="18" customHeight="1" x14ac:dyDescent="0.4">
      <c r="A16" s="284"/>
      <c r="B16" s="186" t="s">
        <v>63</v>
      </c>
      <c r="C16" s="91">
        <v>1.67</v>
      </c>
      <c r="E16" s="207">
        <v>2011</v>
      </c>
      <c r="F16" s="180">
        <f t="shared" si="13"/>
        <v>0</v>
      </c>
      <c r="G16" s="180">
        <f t="shared" si="14"/>
        <v>6742.3167823903677</v>
      </c>
      <c r="H16" s="117">
        <f t="shared" si="1"/>
        <v>6742.3167823903677</v>
      </c>
      <c r="I16" s="117">
        <f t="shared" si="15"/>
        <v>0</v>
      </c>
      <c r="J16" s="117">
        <f t="shared" si="16"/>
        <v>0</v>
      </c>
      <c r="K16" s="181" t="str">
        <f t="shared" si="17"/>
        <v/>
      </c>
      <c r="L16" s="182">
        <f t="shared" si="18"/>
        <v>2.5156077855306599E-2</v>
      </c>
      <c r="M16" s="177">
        <v>55.83</v>
      </c>
      <c r="N16" s="183">
        <f t="shared" si="19"/>
        <v>2629.356357927787</v>
      </c>
      <c r="O16" s="183">
        <f t="shared" si="20"/>
        <v>2629.356357927787</v>
      </c>
      <c r="P16" s="182">
        <f t="shared" si="21"/>
        <v>1.9657694163048692E-2</v>
      </c>
      <c r="Q16" s="177">
        <v>2.642188</v>
      </c>
      <c r="R16" s="183">
        <f t="shared" si="22"/>
        <v>1091.4029312453747</v>
      </c>
      <c r="S16" s="180">
        <f t="shared" si="23"/>
        <v>1085.0906761168476</v>
      </c>
      <c r="T16" s="180">
        <f t="shared" si="24"/>
        <v>3049.449766134353</v>
      </c>
      <c r="U16" s="180">
        <f t="shared" si="25"/>
        <v>3027.8697483457336</v>
      </c>
      <c r="V16" s="184"/>
      <c r="W16" s="184"/>
      <c r="X16" s="185"/>
      <c r="Y16" s="185"/>
      <c r="Z16" s="185"/>
    </row>
    <row r="17" spans="1:26" ht="18" customHeight="1" x14ac:dyDescent="0.4">
      <c r="A17" s="284"/>
      <c r="B17" s="188" t="s">
        <v>65</v>
      </c>
      <c r="C17" s="91">
        <v>0.4</v>
      </c>
      <c r="E17" s="207">
        <v>2012</v>
      </c>
      <c r="F17" s="180">
        <f t="shared" si="13"/>
        <v>0</v>
      </c>
      <c r="G17" s="180">
        <f t="shared" si="14"/>
        <v>7570.4834267445131</v>
      </c>
      <c r="H17" s="117">
        <f t="shared" si="1"/>
        <v>7570.4834267445131</v>
      </c>
      <c r="I17" s="117">
        <f t="shared" si="15"/>
        <v>0</v>
      </c>
      <c r="J17" s="117">
        <f t="shared" si="16"/>
        <v>0</v>
      </c>
      <c r="K17" s="181" t="str">
        <f t="shared" si="17"/>
        <v/>
      </c>
      <c r="L17" s="182">
        <f t="shared" si="18"/>
        <v>0.16657710908113912</v>
      </c>
      <c r="M17" s="177">
        <v>65.13</v>
      </c>
      <c r="N17" s="183">
        <f t="shared" si="19"/>
        <v>3067.3469387755108</v>
      </c>
      <c r="O17" s="183">
        <f t="shared" si="20"/>
        <v>3067.3469387755108</v>
      </c>
      <c r="P17" s="182">
        <f t="shared" si="21"/>
        <v>0.36132440235138447</v>
      </c>
      <c r="Q17" s="177">
        <v>3.5968749999999998</v>
      </c>
      <c r="R17" s="183">
        <f t="shared" si="22"/>
        <v>1477.1604161618272</v>
      </c>
      <c r="S17" s="180">
        <f t="shared" si="23"/>
        <v>1359.5394941483332</v>
      </c>
      <c r="T17" s="180">
        <f t="shared" si="24"/>
        <v>3027.8697483457336</v>
      </c>
      <c r="U17" s="180">
        <f t="shared" si="25"/>
        <v>3143.5969938206695</v>
      </c>
      <c r="V17" s="184"/>
      <c r="W17" s="184"/>
      <c r="X17" s="185"/>
      <c r="Y17" s="185"/>
      <c r="Z17" s="185"/>
    </row>
    <row r="18" spans="1:26" ht="18" customHeight="1" x14ac:dyDescent="0.4">
      <c r="A18" s="284"/>
      <c r="B18" s="188" t="s">
        <v>66</v>
      </c>
      <c r="C18" s="91">
        <v>0.3</v>
      </c>
      <c r="E18" s="207">
        <v>2013</v>
      </c>
      <c r="F18" s="180">
        <f t="shared" si="13"/>
        <v>0</v>
      </c>
      <c r="G18" s="180">
        <f t="shared" si="14"/>
        <v>9582.9779345922725</v>
      </c>
      <c r="H18" s="117">
        <f t="shared" si="1"/>
        <v>9582.9779345922725</v>
      </c>
      <c r="I18" s="117">
        <f t="shared" si="15"/>
        <v>0</v>
      </c>
      <c r="J18" s="117">
        <f t="shared" si="16"/>
        <v>0</v>
      </c>
      <c r="K18" s="181" t="str">
        <f t="shared" si="17"/>
        <v/>
      </c>
      <c r="L18" s="182">
        <f t="shared" si="18"/>
        <v>0.35052970981114695</v>
      </c>
      <c r="M18" s="177">
        <v>87.96</v>
      </c>
      <c r="N18" s="183">
        <f t="shared" si="19"/>
        <v>4142.5431711146011</v>
      </c>
      <c r="O18" s="183">
        <f t="shared" si="20"/>
        <v>4142.5431711146011</v>
      </c>
      <c r="P18" s="182">
        <f t="shared" si="21"/>
        <v>0.71537793223284107</v>
      </c>
      <c r="Q18" s="177">
        <v>6.17</v>
      </c>
      <c r="R18" s="183">
        <f t="shared" si="22"/>
        <v>2332.1240462610508</v>
      </c>
      <c r="S18" s="180">
        <f t="shared" si="23"/>
        <v>2040.3486806272356</v>
      </c>
      <c r="T18" s="180">
        <f t="shared" si="24"/>
        <v>3143.5969938206695</v>
      </c>
      <c r="U18" s="180">
        <f t="shared" si="25"/>
        <v>3400.0860828504365</v>
      </c>
      <c r="V18" s="184"/>
      <c r="W18" s="184"/>
      <c r="X18" s="185"/>
      <c r="Y18" s="185"/>
      <c r="Z18" s="185"/>
    </row>
    <row r="19" spans="1:26" ht="18" customHeight="1" x14ac:dyDescent="0.4">
      <c r="A19" s="284"/>
      <c r="B19" s="188" t="s">
        <v>67</v>
      </c>
      <c r="C19" s="91">
        <v>0.3</v>
      </c>
      <c r="E19" s="207">
        <v>2014</v>
      </c>
      <c r="F19" s="180">
        <f t="shared" si="13"/>
        <v>0</v>
      </c>
      <c r="G19" s="180">
        <f t="shared" si="14"/>
        <v>11029.446840605407</v>
      </c>
      <c r="H19" s="117">
        <f t="shared" si="1"/>
        <v>11029.446840605407</v>
      </c>
      <c r="I19" s="117">
        <f t="shared" si="15"/>
        <v>0</v>
      </c>
      <c r="J19" s="117">
        <f t="shared" si="16"/>
        <v>0</v>
      </c>
      <c r="K19" s="181" t="str">
        <f t="shared" si="17"/>
        <v/>
      </c>
      <c r="L19" s="182">
        <f t="shared" si="18"/>
        <v>0.17382901318781271</v>
      </c>
      <c r="M19" s="177">
        <v>103.25</v>
      </c>
      <c r="N19" s="183">
        <f t="shared" si="19"/>
        <v>4862.6373626373643</v>
      </c>
      <c r="O19" s="183">
        <f t="shared" si="20"/>
        <v>4862.6373626373643</v>
      </c>
      <c r="P19" s="182">
        <f t="shared" si="21"/>
        <v>0.39890599675850885</v>
      </c>
      <c r="Q19" s="177">
        <v>8.6312499999999996</v>
      </c>
      <c r="R19" s="183">
        <f t="shared" si="22"/>
        <v>2854.2560048077517</v>
      </c>
      <c r="S19" s="180">
        <f t="shared" si="23"/>
        <v>2610.0838075535967</v>
      </c>
      <c r="T19" s="180">
        <f t="shared" si="24"/>
        <v>3400.0860828504365</v>
      </c>
      <c r="U19" s="180">
        <f t="shared" si="25"/>
        <v>3556.7256704144465</v>
      </c>
      <c r="V19" s="184"/>
      <c r="W19" s="184"/>
      <c r="X19" s="185"/>
      <c r="Y19" s="185"/>
      <c r="Z19" s="185"/>
    </row>
    <row r="20" spans="1:26" ht="18" customHeight="1" x14ac:dyDescent="0.4">
      <c r="A20" s="284"/>
      <c r="B20" s="188" t="s">
        <v>68</v>
      </c>
      <c r="C20" s="101">
        <v>1</v>
      </c>
      <c r="E20" s="207">
        <v>2015</v>
      </c>
      <c r="F20" s="180">
        <f t="shared" si="13"/>
        <v>0</v>
      </c>
      <c r="G20" s="180">
        <f t="shared" si="14"/>
        <v>11581.307165879298</v>
      </c>
      <c r="H20" s="117">
        <f t="shared" si="1"/>
        <v>11581.307165879298</v>
      </c>
      <c r="I20" s="117">
        <f t="shared" si="15"/>
        <v>0</v>
      </c>
      <c r="J20" s="117">
        <f t="shared" si="16"/>
        <v>0</v>
      </c>
      <c r="K20" s="181" t="str">
        <f t="shared" si="17"/>
        <v/>
      </c>
      <c r="L20" s="182">
        <f t="shared" si="18"/>
        <v>8.3389830508474566E-2</v>
      </c>
      <c r="M20" s="177">
        <v>111.86</v>
      </c>
      <c r="N20" s="183">
        <f t="shared" si="19"/>
        <v>5268.1318681318699</v>
      </c>
      <c r="O20" s="183">
        <f t="shared" si="20"/>
        <v>5268.1318681318699</v>
      </c>
      <c r="P20" s="182">
        <f t="shared" si="21"/>
        <v>8.4141926140477954E-2</v>
      </c>
      <c r="Q20" s="177">
        <v>9.3574999999999999</v>
      </c>
      <c r="R20" s="183">
        <f t="shared" si="22"/>
        <v>2829.7012865092288</v>
      </c>
      <c r="S20" s="180">
        <f t="shared" si="23"/>
        <v>2763.8160428225392</v>
      </c>
      <c r="T20" s="180">
        <f t="shared" si="24"/>
        <v>3556.7256704144465</v>
      </c>
      <c r="U20" s="180">
        <f t="shared" si="25"/>
        <v>3549.3592549248897</v>
      </c>
      <c r="V20" s="184"/>
      <c r="W20" s="184"/>
      <c r="X20" s="185"/>
      <c r="Y20" s="185"/>
      <c r="Z20" s="185"/>
    </row>
    <row r="21" spans="1:26" ht="18" customHeight="1" x14ac:dyDescent="0.4">
      <c r="A21" s="284"/>
      <c r="B21" s="188" t="s">
        <v>226</v>
      </c>
      <c r="C21" s="47" t="s">
        <v>224</v>
      </c>
      <c r="E21" s="207">
        <v>2016</v>
      </c>
      <c r="F21" s="180">
        <f t="shared" si="13"/>
        <v>0</v>
      </c>
      <c r="G21" s="180">
        <f t="shared" si="14"/>
        <v>12331.490220420661</v>
      </c>
      <c r="H21" s="117">
        <f t="shared" si="1"/>
        <v>12331.490220420661</v>
      </c>
      <c r="I21" s="117">
        <f t="shared" si="15"/>
        <v>0</v>
      </c>
      <c r="J21" s="117">
        <f t="shared" si="16"/>
        <v>0</v>
      </c>
      <c r="K21" s="181" t="str">
        <f t="shared" si="17"/>
        <v/>
      </c>
      <c r="L21" s="182">
        <f t="shared" si="18"/>
        <v>5.9181119256213166E-2</v>
      </c>
      <c r="M21" s="177">
        <v>118.48</v>
      </c>
      <c r="N21" s="183">
        <f t="shared" si="19"/>
        <v>5579.9058084772387</v>
      </c>
      <c r="O21" s="183">
        <f t="shared" si="20"/>
        <v>5579.9058084772387</v>
      </c>
      <c r="P21" s="182">
        <f t="shared" si="21"/>
        <v>0.16577611541544213</v>
      </c>
      <c r="Q21" s="177">
        <v>10.90875</v>
      </c>
      <c r="R21" s="183">
        <f t="shared" si="22"/>
        <v>3221.9907301245394</v>
      </c>
      <c r="S21" s="180">
        <f t="shared" si="23"/>
        <v>3084.5383239339394</v>
      </c>
      <c r="T21" s="180">
        <f t="shared" si="24"/>
        <v>3549.3592549248897</v>
      </c>
      <c r="U21" s="180">
        <f t="shared" si="25"/>
        <v>3667.0460880094829</v>
      </c>
      <c r="V21" s="184"/>
      <c r="W21" s="184"/>
      <c r="X21" s="185"/>
      <c r="Y21" s="185"/>
      <c r="Z21" s="185"/>
    </row>
    <row r="22" spans="1:26" ht="18" customHeight="1" x14ac:dyDescent="0.4">
      <c r="A22" s="284"/>
      <c r="B22" s="186" t="s">
        <v>80</v>
      </c>
      <c r="C22" s="98">
        <f>IF(C21="否",C10/C13,C10/C12)</f>
        <v>0</v>
      </c>
      <c r="E22" s="207">
        <v>2017</v>
      </c>
      <c r="F22" s="180">
        <f t="shared" si="13"/>
        <v>0</v>
      </c>
      <c r="G22" s="180">
        <f t="shared" si="14"/>
        <v>16196.713626156674</v>
      </c>
      <c r="H22" s="117">
        <f t="shared" si="1"/>
        <v>16196.713626156674</v>
      </c>
      <c r="I22" s="117">
        <f t="shared" si="15"/>
        <v>0</v>
      </c>
      <c r="J22" s="117">
        <f t="shared" si="16"/>
        <v>0</v>
      </c>
      <c r="K22" s="181" t="str">
        <f t="shared" si="17"/>
        <v/>
      </c>
      <c r="L22" s="182">
        <f t="shared" si="18"/>
        <v>0.31465226198514507</v>
      </c>
      <c r="M22" s="177">
        <v>155.76</v>
      </c>
      <c r="N22" s="183">
        <f t="shared" si="19"/>
        <v>7335.6357927786512</v>
      </c>
      <c r="O22" s="183">
        <f t="shared" si="20"/>
        <v>7335.6357927786512</v>
      </c>
      <c r="P22" s="182">
        <f t="shared" si="21"/>
        <v>0.69726128108170049</v>
      </c>
      <c r="Q22" s="177">
        <v>18.514999</v>
      </c>
      <c r="R22" s="183">
        <f t="shared" si="22"/>
        <v>5235.267467225719</v>
      </c>
      <c r="S22" s="180">
        <f t="shared" si="23"/>
        <v>4590.0487242381851</v>
      </c>
      <c r="T22" s="180">
        <f t="shared" si="24"/>
        <v>3667.0460880094829</v>
      </c>
      <c r="U22" s="180">
        <f t="shared" si="25"/>
        <v>4271.0291091398367</v>
      </c>
      <c r="V22" s="184"/>
      <c r="W22" s="184"/>
      <c r="X22" s="185"/>
      <c r="Y22" s="185"/>
      <c r="Z22" s="185"/>
    </row>
    <row r="23" spans="1:26" ht="18" customHeight="1" x14ac:dyDescent="0.4">
      <c r="A23" s="284"/>
      <c r="B23" s="186" t="s">
        <v>81</v>
      </c>
      <c r="C23" s="49">
        <v>0.3</v>
      </c>
      <c r="E23" s="207">
        <v>2018</v>
      </c>
      <c r="F23" s="180">
        <f t="shared" si="13"/>
        <v>0</v>
      </c>
      <c r="G23" s="180">
        <f t="shared" si="14"/>
        <v>15523.649298028857</v>
      </c>
      <c r="H23" s="117">
        <f t="shared" si="1"/>
        <v>15523.649298028857</v>
      </c>
      <c r="I23" s="117">
        <f t="shared" si="15"/>
        <v>0</v>
      </c>
      <c r="J23" s="117">
        <f t="shared" si="16"/>
        <v>0</v>
      </c>
      <c r="K23" s="181" t="str">
        <f t="shared" si="17"/>
        <v/>
      </c>
      <c r="L23" s="182">
        <f t="shared" si="18"/>
        <v>-9.630200308166411E-3</v>
      </c>
      <c r="M23" s="177">
        <v>154.26</v>
      </c>
      <c r="N23" s="183">
        <f t="shared" si="19"/>
        <v>7264.9921507064373</v>
      </c>
      <c r="O23" s="183">
        <f t="shared" si="20"/>
        <v>7264.9921507064373</v>
      </c>
      <c r="P23" s="182">
        <f t="shared" si="21"/>
        <v>-0.13124494362651598</v>
      </c>
      <c r="Q23" s="177">
        <v>16.084999</v>
      </c>
      <c r="R23" s="183">
        <f t="shared" si="22"/>
        <v>3987.6280381825832</v>
      </c>
      <c r="S23" s="180">
        <f t="shared" si="23"/>
        <v>4107.6280381825836</v>
      </c>
      <c r="T23" s="180">
        <f t="shared" si="24"/>
        <v>4271.0291091398367</v>
      </c>
      <c r="U23" s="180">
        <f t="shared" si="25"/>
        <v>4151.0291091398367</v>
      </c>
      <c r="V23" s="184"/>
      <c r="W23" s="184"/>
      <c r="X23" s="185"/>
      <c r="Y23" s="185"/>
      <c r="Z23" s="185"/>
    </row>
    <row r="24" spans="1:26" ht="18" customHeight="1" x14ac:dyDescent="0.4">
      <c r="A24" s="284"/>
      <c r="B24" s="186" t="s">
        <v>82</v>
      </c>
      <c r="C24" s="95">
        <f>C8</f>
        <v>120</v>
      </c>
      <c r="E24" s="207">
        <v>2019</v>
      </c>
      <c r="F24" s="180">
        <f t="shared" si="13"/>
        <v>0</v>
      </c>
      <c r="G24" s="180">
        <f t="shared" si="14"/>
        <v>22110.7869172547</v>
      </c>
      <c r="H24" s="117">
        <f t="shared" si="1"/>
        <v>22110.7869172547</v>
      </c>
      <c r="I24" s="117">
        <f t="shared" si="15"/>
        <v>0</v>
      </c>
      <c r="J24" s="117">
        <f t="shared" si="16"/>
        <v>0</v>
      </c>
      <c r="K24" s="181" t="str">
        <f t="shared" si="17"/>
        <v/>
      </c>
      <c r="L24" s="182">
        <f t="shared" si="18"/>
        <v>0.37825748735900444</v>
      </c>
      <c r="M24" s="177">
        <v>212.61</v>
      </c>
      <c r="N24" s="183">
        <f t="shared" si="19"/>
        <v>10013.029827315544</v>
      </c>
      <c r="O24" s="183">
        <f t="shared" si="20"/>
        <v>10013.029827315544</v>
      </c>
      <c r="P24" s="182">
        <f t="shared" si="21"/>
        <v>0.92586278681148815</v>
      </c>
      <c r="Q24" s="177">
        <v>30.977501</v>
      </c>
      <c r="R24" s="183">
        <f t="shared" si="22"/>
        <v>7910.7279807993164</v>
      </c>
      <c r="S24" s="180">
        <f t="shared" si="23"/>
        <v>6769.7979980142964</v>
      </c>
      <c r="T24" s="180">
        <f t="shared" si="24"/>
        <v>4151.0291091398367</v>
      </c>
      <c r="U24" s="180">
        <f t="shared" si="25"/>
        <v>5327.9590919248567</v>
      </c>
      <c r="V24" s="184"/>
      <c r="W24" s="184"/>
      <c r="X24" s="185"/>
      <c r="Y24" s="185"/>
      <c r="Z24" s="185"/>
    </row>
    <row r="25" spans="1:26" ht="18" customHeight="1" x14ac:dyDescent="0.4">
      <c r="A25" s="285"/>
      <c r="B25" s="186" t="s">
        <v>47</v>
      </c>
      <c r="C25" s="99">
        <f>C17+C18*2</f>
        <v>1</v>
      </c>
      <c r="E25" s="207">
        <v>2020</v>
      </c>
      <c r="F25" s="180">
        <f t="shared" si="13"/>
        <v>0</v>
      </c>
      <c r="G25" s="180">
        <f t="shared" si="14"/>
        <v>32460.816862215317</v>
      </c>
      <c r="H25" s="117">
        <f t="shared" si="1"/>
        <v>32460.816862215317</v>
      </c>
      <c r="I25" s="117">
        <f t="shared" si="15"/>
        <v>0</v>
      </c>
      <c r="J25" s="117">
        <f t="shared" si="16"/>
        <v>0</v>
      </c>
      <c r="K25" s="181" t="str">
        <f t="shared" si="17"/>
        <v/>
      </c>
      <c r="L25" s="182">
        <f t="shared" si="18"/>
        <v>0.47565965852970221</v>
      </c>
      <c r="M25" s="177">
        <v>313.74</v>
      </c>
      <c r="N25" s="183">
        <f t="shared" si="19"/>
        <v>14775.824175824178</v>
      </c>
      <c r="O25" s="183">
        <f t="shared" si="20"/>
        <v>14775.824175824178</v>
      </c>
      <c r="P25" s="182">
        <f t="shared" si="21"/>
        <v>0.8758776248607012</v>
      </c>
      <c r="Q25" s="177">
        <v>58.110000999999997</v>
      </c>
      <c r="R25" s="183">
        <f t="shared" si="22"/>
        <v>12699.312589301788</v>
      </c>
      <c r="S25" s="180">
        <f t="shared" si="23"/>
        <v>10920.45821191554</v>
      </c>
      <c r="T25" s="180">
        <f t="shared" si="24"/>
        <v>5327.9590919248567</v>
      </c>
      <c r="U25" s="180">
        <f t="shared" si="25"/>
        <v>6764.5344744755985</v>
      </c>
      <c r="V25" s="184"/>
      <c r="W25" s="184"/>
      <c r="X25" s="185"/>
      <c r="Y25" s="185"/>
      <c r="Z25" s="185"/>
    </row>
    <row r="26" spans="1:26" ht="18" customHeight="1" x14ac:dyDescent="0.4">
      <c r="A26" s="283" t="s">
        <v>44</v>
      </c>
      <c r="B26" s="186" t="s">
        <v>45</v>
      </c>
      <c r="C26" s="100">
        <f>'3.5.1定期定額回測'!A10</f>
        <v>25.744010951403148</v>
      </c>
      <c r="E26" s="207">
        <v>2021</v>
      </c>
      <c r="F26" s="180">
        <f t="shared" si="13"/>
        <v>0</v>
      </c>
      <c r="G26" s="180">
        <f t="shared" si="14"/>
        <v>41815.613691300023</v>
      </c>
      <c r="H26" s="117">
        <f t="shared" si="1"/>
        <v>41815.613691300023</v>
      </c>
      <c r="I26" s="117">
        <f t="shared" si="15"/>
        <v>0</v>
      </c>
      <c r="J26" s="117">
        <f t="shared" si="16"/>
        <v>0</v>
      </c>
      <c r="K26" s="181" t="str">
        <f t="shared" si="17"/>
        <v/>
      </c>
      <c r="L26" s="182">
        <f t="shared" si="18"/>
        <v>0.26808822591955128</v>
      </c>
      <c r="M26" s="177">
        <v>397.85</v>
      </c>
      <c r="N26" s="183">
        <f t="shared" si="19"/>
        <v>18737.048665620096</v>
      </c>
      <c r="O26" s="183">
        <f t="shared" si="20"/>
        <v>18737.048665620096</v>
      </c>
      <c r="P26" s="182">
        <f t="shared" si="21"/>
        <v>0.54276373184023874</v>
      </c>
      <c r="Q26" s="177">
        <v>89.650002000000001</v>
      </c>
      <c r="R26" s="183">
        <f t="shared" si="22"/>
        <v>16847.6868644202</v>
      </c>
      <c r="S26" s="180">
        <f t="shared" si="23"/>
        <v>15069.518268668802</v>
      </c>
      <c r="T26" s="180">
        <f t="shared" si="24"/>
        <v>6764.5344744755985</v>
      </c>
      <c r="U26" s="180">
        <f t="shared" si="25"/>
        <v>8009.0467570111223</v>
      </c>
      <c r="V26" s="184"/>
      <c r="W26" s="184"/>
      <c r="X26" s="185"/>
      <c r="Y26" s="185"/>
      <c r="Z26" s="185"/>
    </row>
    <row r="27" spans="1:26" ht="18" customHeight="1" x14ac:dyDescent="0.4">
      <c r="A27" s="284"/>
      <c r="B27" s="186" t="s">
        <v>41</v>
      </c>
      <c r="C27" s="98">
        <f>IFERROR((N29/N3)^(1/C26)-1,0)</f>
        <v>9.3699111106518185E-2</v>
      </c>
      <c r="E27" s="207">
        <v>2022</v>
      </c>
      <c r="F27" s="180">
        <f t="shared" si="13"/>
        <v>0</v>
      </c>
      <c r="G27" s="180">
        <f t="shared" si="14"/>
        <v>26540.53269046672</v>
      </c>
      <c r="H27" s="117">
        <f t="shared" si="1"/>
        <v>26540.53269046672</v>
      </c>
      <c r="I27" s="117">
        <f t="shared" si="15"/>
        <v>0</v>
      </c>
      <c r="J27" s="117">
        <f t="shared" si="16"/>
        <v>0</v>
      </c>
      <c r="K27" s="181" t="str">
        <f t="shared" si="17"/>
        <v/>
      </c>
      <c r="L27" s="182">
        <f t="shared" si="18"/>
        <v>-0.33070252607766759</v>
      </c>
      <c r="M27" s="177">
        <v>266.27999999999997</v>
      </c>
      <c r="N27" s="183">
        <f t="shared" si="19"/>
        <v>12540.659340659338</v>
      </c>
      <c r="O27" s="183">
        <f t="shared" si="20"/>
        <v>12540.659340659338</v>
      </c>
      <c r="P27" s="182">
        <f t="shared" si="21"/>
        <v>-0.6024540077533963</v>
      </c>
      <c r="Q27" s="177">
        <v>35.639999000000003</v>
      </c>
      <c r="R27" s="183">
        <f t="shared" si="22"/>
        <v>5990.8265927962602</v>
      </c>
      <c r="S27" s="180">
        <f t="shared" si="23"/>
        <v>6110.8265927962602</v>
      </c>
      <c r="T27" s="180">
        <f t="shared" si="24"/>
        <v>8009.0467570111223</v>
      </c>
      <c r="U27" s="180">
        <f t="shared" si="25"/>
        <v>7889.0467570111223</v>
      </c>
      <c r="V27" s="184"/>
      <c r="W27" s="184"/>
      <c r="X27" s="185"/>
      <c r="Y27" s="185"/>
      <c r="Z27" s="185"/>
    </row>
    <row r="28" spans="1:26" ht="15.65" customHeight="1" x14ac:dyDescent="0.4">
      <c r="A28" s="284"/>
      <c r="B28" s="186" t="s">
        <v>42</v>
      </c>
      <c r="C28" s="98">
        <f>IFERROR((S29/S3)^(1/C26)-1,0)</f>
        <v>8.3513900953565479E-2</v>
      </c>
      <c r="E28" s="207">
        <v>2023</v>
      </c>
      <c r="F28" s="180">
        <f t="shared" si="13"/>
        <v>0</v>
      </c>
      <c r="G28" s="180">
        <f t="shared" si="14"/>
        <v>40009.46136659701</v>
      </c>
      <c r="H28" s="117">
        <f t="shared" si="1"/>
        <v>40009.46136659701</v>
      </c>
      <c r="I28" s="117">
        <f t="shared" si="15"/>
        <v>0</v>
      </c>
      <c r="J28" s="117">
        <f t="shared" si="16"/>
        <v>0</v>
      </c>
      <c r="K28" s="181" t="str">
        <f t="shared" si="17"/>
        <v/>
      </c>
      <c r="L28" s="182">
        <f t="shared" si="18"/>
        <v>0.53792999849782197</v>
      </c>
      <c r="M28" s="177">
        <v>409.52</v>
      </c>
      <c r="N28" s="183">
        <f t="shared" si="19"/>
        <v>19286.65620094191</v>
      </c>
      <c r="O28" s="183">
        <f t="shared" si="20"/>
        <v>19286.65620094191</v>
      </c>
      <c r="P28" s="182">
        <f t="shared" si="21"/>
        <v>1.0942761530380514</v>
      </c>
      <c r="Q28" s="177">
        <v>74.64</v>
      </c>
      <c r="R28" s="183">
        <f t="shared" si="22"/>
        <v>12797.758408643975</v>
      </c>
      <c r="S28" s="180">
        <f t="shared" si="23"/>
        <v>10791.678863889661</v>
      </c>
      <c r="T28" s="180">
        <f t="shared" si="24"/>
        <v>7889.0467570111223</v>
      </c>
      <c r="U28" s="180">
        <f t="shared" si="25"/>
        <v>9931.1263017654364</v>
      </c>
      <c r="V28" s="184"/>
      <c r="W28" s="184"/>
    </row>
    <row r="29" spans="1:26" ht="15.65" customHeight="1" x14ac:dyDescent="0.4">
      <c r="A29" s="284"/>
      <c r="B29" s="186" t="s">
        <v>43</v>
      </c>
      <c r="C29" s="98">
        <v>0</v>
      </c>
      <c r="E29" s="207">
        <v>2024</v>
      </c>
      <c r="F29" s="180">
        <f t="shared" si="13"/>
        <v>0</v>
      </c>
      <c r="G29" s="180">
        <f t="shared" si="14"/>
        <v>49055.737878632863</v>
      </c>
      <c r="H29" s="117">
        <f t="shared" si="1"/>
        <v>49055.737878632863</v>
      </c>
      <c r="I29" s="117">
        <f t="shared" si="15"/>
        <v>0</v>
      </c>
      <c r="J29" s="117">
        <f t="shared" si="16"/>
        <v>0</v>
      </c>
      <c r="K29" s="181" t="str">
        <f t="shared" si="17"/>
        <v/>
      </c>
      <c r="L29" s="182">
        <f t="shared" si="18"/>
        <v>0.24836393826919331</v>
      </c>
      <c r="M29" s="119">
        <v>511.23</v>
      </c>
      <c r="N29" s="183">
        <f t="shared" si="19"/>
        <v>24076.766091051803</v>
      </c>
      <c r="O29" s="183">
        <f t="shared" si="20"/>
        <v>24076.766091051803</v>
      </c>
      <c r="P29" s="182">
        <f t="shared" si="21"/>
        <v>0.45016077170418001</v>
      </c>
      <c r="Q29" s="177">
        <v>108.24</v>
      </c>
      <c r="R29" s="183">
        <f t="shared" si="22"/>
        <v>15649.66934924192</v>
      </c>
      <c r="S29" s="180">
        <f t="shared" si="23"/>
        <v>14192.272203636243</v>
      </c>
      <c r="T29" s="180">
        <f t="shared" si="24"/>
        <v>9931.1263017654364</v>
      </c>
      <c r="U29" s="180">
        <f t="shared" si="25"/>
        <v>10786.699583944821</v>
      </c>
    </row>
    <row r="30" spans="1:26" ht="15.65" customHeight="1" x14ac:dyDescent="0.4">
      <c r="A30" s="284"/>
      <c r="B30" s="186" t="s">
        <v>60</v>
      </c>
      <c r="C30" s="98">
        <f>IFERROR(C27*C17+C28*C18,0)</f>
        <v>6.2533814728676917E-2</v>
      </c>
      <c r="F30" s="180"/>
      <c r="G30" s="180"/>
      <c r="H30" s="117"/>
      <c r="I30" s="117"/>
      <c r="J30" s="117"/>
      <c r="K30" s="181"/>
    </row>
    <row r="31" spans="1:26" ht="15.65" customHeight="1" x14ac:dyDescent="0.4">
      <c r="A31" s="284"/>
      <c r="B31" s="186" t="s">
        <v>256</v>
      </c>
      <c r="C31" s="180">
        <f>SUM(F4:F29)</f>
        <v>0</v>
      </c>
      <c r="F31" s="180"/>
      <c r="G31" s="180"/>
      <c r="H31" s="117"/>
      <c r="I31" s="117"/>
      <c r="J31" s="117"/>
      <c r="K31" s="181"/>
    </row>
    <row r="32" spans="1:26" ht="15.65" customHeight="1" x14ac:dyDescent="0.4">
      <c r="A32" s="284"/>
      <c r="B32" s="186" t="s">
        <v>257</v>
      </c>
      <c r="C32" s="180">
        <f>H29</f>
        <v>49055.737878632863</v>
      </c>
      <c r="F32" s="180"/>
      <c r="G32" s="180"/>
      <c r="H32" s="117"/>
      <c r="I32" s="117"/>
      <c r="J32" s="117"/>
      <c r="K32" s="181"/>
    </row>
    <row r="33" spans="1:11" ht="15.65" customHeight="1" x14ac:dyDescent="0.4">
      <c r="A33" s="284"/>
      <c r="B33" s="186" t="s">
        <v>258</v>
      </c>
      <c r="C33" s="190">
        <f>C31+C32</f>
        <v>49055.737878632863</v>
      </c>
      <c r="F33" s="180"/>
      <c r="G33" s="180"/>
      <c r="H33" s="117"/>
      <c r="I33" s="117"/>
      <c r="J33" s="117"/>
      <c r="K33" s="181"/>
    </row>
    <row r="34" spans="1:11" ht="15.65" customHeight="1" x14ac:dyDescent="0.4">
      <c r="A34" s="284"/>
      <c r="B34" s="186" t="s">
        <v>59</v>
      </c>
      <c r="C34" s="99">
        <f>C32/C13</f>
        <v>8.1759563131054769</v>
      </c>
      <c r="F34" s="180"/>
      <c r="G34" s="180"/>
      <c r="H34" s="117"/>
      <c r="I34" s="117"/>
      <c r="J34" s="117"/>
      <c r="K34" s="181"/>
    </row>
    <row r="35" spans="1:11" ht="15.65" customHeight="1" x14ac:dyDescent="0.4">
      <c r="A35" s="284"/>
      <c r="B35" s="186" t="s">
        <v>61</v>
      </c>
      <c r="C35" s="98">
        <f>(H29/C13)^(1/C26)-1</f>
        <v>8.5042214467593746E-2</v>
      </c>
      <c r="F35" s="180"/>
      <c r="G35" s="180"/>
      <c r="H35" s="117"/>
      <c r="I35" s="117"/>
      <c r="J35" s="117"/>
      <c r="K35" s="181"/>
    </row>
    <row r="36" spans="1:11" ht="15.65" customHeight="1" x14ac:dyDescent="0.4">
      <c r="A36" s="284"/>
      <c r="B36" s="186" t="s">
        <v>62</v>
      </c>
      <c r="C36" s="98">
        <f>(C33/C13)^(1/C26)-1</f>
        <v>8.5042214467593746E-2</v>
      </c>
      <c r="F36" s="180"/>
      <c r="G36" s="180"/>
      <c r="H36" s="117"/>
      <c r="I36" s="117"/>
      <c r="J36" s="117"/>
      <c r="K36" s="181"/>
    </row>
    <row r="37" spans="1:11" ht="15.65" customHeight="1" x14ac:dyDescent="0.4">
      <c r="A37" s="285"/>
      <c r="B37" s="186" t="s">
        <v>225</v>
      </c>
      <c r="C37" s="104" t="str">
        <f>IF(OR(AND($K$4&lt;&gt;"",MIN(K4:K29)&lt;$C$16),MIN(T4:T29)&lt;0),"是","否")</f>
        <v>否</v>
      </c>
      <c r="F37" s="180"/>
      <c r="G37" s="180"/>
      <c r="H37" s="117"/>
      <c r="I37" s="117"/>
      <c r="J37" s="117"/>
      <c r="K37" s="181"/>
    </row>
    <row r="38" spans="1:11" ht="15.65" customHeight="1" x14ac:dyDescent="0.4">
      <c r="B38" s="191"/>
      <c r="F38" s="180"/>
      <c r="G38" s="180"/>
      <c r="H38" s="117"/>
      <c r="I38" s="117"/>
      <c r="J38" s="117"/>
      <c r="K38" s="181"/>
    </row>
    <row r="39" spans="1:11" ht="15.65" customHeight="1" x14ac:dyDescent="0.4">
      <c r="B39" s="191"/>
      <c r="F39" s="180"/>
      <c r="G39" s="180"/>
      <c r="H39" s="117"/>
      <c r="I39" s="117"/>
      <c r="J39" s="117"/>
      <c r="K39" s="181"/>
    </row>
    <row r="40" spans="1:11" ht="15.65" customHeight="1" x14ac:dyDescent="0.4">
      <c r="B40" s="191"/>
      <c r="F40" s="180"/>
      <c r="G40" s="180"/>
      <c r="H40" s="117"/>
      <c r="I40" s="117"/>
      <c r="J40" s="117"/>
      <c r="K40" s="181"/>
    </row>
    <row r="41" spans="1:11" ht="15.65" customHeight="1" x14ac:dyDescent="0.4">
      <c r="F41" s="180"/>
      <c r="G41" s="180"/>
      <c r="H41" s="117"/>
      <c r="I41" s="117"/>
      <c r="J41" s="117"/>
      <c r="K41" s="181"/>
    </row>
    <row r="42" spans="1:11" ht="15.65" customHeight="1" x14ac:dyDescent="0.4">
      <c r="F42" s="180"/>
      <c r="G42" s="180"/>
      <c r="H42" s="117"/>
      <c r="I42" s="117"/>
      <c r="J42" s="117"/>
      <c r="K42" s="181"/>
    </row>
    <row r="43" spans="1:11" ht="15.65" customHeight="1" x14ac:dyDescent="0.4">
      <c r="F43" s="180"/>
      <c r="G43" s="180"/>
      <c r="H43" s="117"/>
      <c r="I43" s="117"/>
      <c r="J43" s="117"/>
      <c r="K43" s="181"/>
    </row>
    <row r="44" spans="1:11" ht="15.65" customHeight="1" x14ac:dyDescent="0.4">
      <c r="F44" s="180"/>
      <c r="G44" s="180"/>
      <c r="H44" s="117"/>
      <c r="I44" s="117"/>
      <c r="J44" s="117"/>
      <c r="K44" s="181"/>
    </row>
  </sheetData>
  <sheetProtection formatCells="0" formatColumns="0" formatRows="0"/>
  <mergeCells count="10">
    <mergeCell ref="A26:A37"/>
    <mergeCell ref="A3:A10"/>
    <mergeCell ref="A11:A25"/>
    <mergeCell ref="T1:U1"/>
    <mergeCell ref="P1:S1"/>
    <mergeCell ref="A1:A2"/>
    <mergeCell ref="E1:E2"/>
    <mergeCell ref="B1:B2"/>
    <mergeCell ref="C1:C2"/>
    <mergeCell ref="L1:O1"/>
  </mergeCells>
  <phoneticPr fontId="6" type="noConversion"/>
  <conditionalFormatting sqref="K6:K29">
    <cfRule type="cellIs" dxfId="11" priority="24" operator="lessThan">
      <formula>$C$16</formula>
    </cfRule>
  </conditionalFormatting>
  <conditionalFormatting sqref="N6:N29">
    <cfRule type="cellIs" dxfId="10" priority="10" operator="lessThan">
      <formula>0</formula>
    </cfRule>
  </conditionalFormatting>
  <conditionalFormatting sqref="R3:R29">
    <cfRule type="cellIs" dxfId="9" priority="6" operator="lessThan">
      <formula>0</formula>
    </cfRule>
  </conditionalFormatting>
  <conditionalFormatting sqref="R4:U29">
    <cfRule type="cellIs" dxfId="8" priority="12" operator="lessThan">
      <formula>0</formula>
    </cfRule>
  </conditionalFormatting>
  <conditionalFormatting sqref="S4 U4">
    <cfRule type="cellIs" dxfId="7" priority="7" operator="lessThan">
      <formula>0</formula>
    </cfRule>
  </conditionalFormatting>
  <conditionalFormatting sqref="S4:U29">
    <cfRule type="cellIs" dxfId="6" priority="8" operator="lessThan">
      <formula>0</formula>
    </cfRule>
  </conditionalFormatting>
  <conditionalFormatting sqref="T4:T5">
    <cfRule type="cellIs" dxfId="5" priority="4" operator="lessThan">
      <formula>0</formula>
    </cfRule>
  </conditionalFormatting>
  <conditionalFormatting sqref="S3:U3">
    <cfRule type="cellIs" dxfId="4" priority="3" operator="lessThan">
      <formula>0</formula>
    </cfRule>
  </conditionalFormatting>
  <conditionalFormatting sqref="K4:K5">
    <cfRule type="cellIs" dxfId="3" priority="2" operator="lessThan">
      <formula>$C$16</formula>
    </cfRule>
  </conditionalFormatting>
  <conditionalFormatting sqref="N4:N5">
    <cfRule type="cellIs" dxfId="2" priority="1" operator="lessThan">
      <formula>0</formula>
    </cfRule>
  </conditionalFormatting>
  <dataValidations count="2">
    <dataValidation type="list" allowBlank="1" showInputMessage="1" showErrorMessage="1" sqref="C14 C21" xr:uid="{00000000-0002-0000-0500-000000000000}">
      <formula1>"是,否"</formula1>
    </dataValidation>
    <dataValidation type="list" allowBlank="1" showInputMessage="1" showErrorMessage="1" sqref="C20:C21" xr:uid="{00000000-0002-0000-0500-000001000000}">
      <formula1>"0,1,2,3"</formula1>
    </dataValidation>
  </dataValidations>
  <pageMargins left="0.7" right="0.7" top="0.75" bottom="0.75" header="0.3" footer="0.3"/>
  <pageSetup orientation="portrait" r:id="rId1"/>
  <headerFooter>
    <oddFooter>&amp;C&amp;"Helvetica Neue,Regular"&amp;12&amp;K000000&amp;P</oddFooter>
  </headerFooter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工作表9"/>
  <dimension ref="A1:AP15"/>
  <sheetViews>
    <sheetView tabSelected="1" zoomScale="85" zoomScaleNormal="85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I18" sqref="I18"/>
    </sheetView>
  </sheetViews>
  <sheetFormatPr defaultColWidth="12.08984375" defaultRowHeight="17" x14ac:dyDescent="0.4"/>
  <cols>
    <col min="1" max="1" width="13.453125" style="32" bestFit="1" customWidth="1"/>
    <col min="2" max="5" width="7.54296875" style="31" bestFit="1" customWidth="1"/>
    <col min="6" max="7" width="7.54296875" style="31" hidden="1" customWidth="1"/>
    <col min="8" max="9" width="7.26953125" style="31" bestFit="1" customWidth="1"/>
    <col min="10" max="10" width="7.54296875" style="31" bestFit="1" customWidth="1"/>
    <col min="11" max="11" width="7.26953125" style="31" bestFit="1" customWidth="1"/>
    <col min="12" max="14" width="7.54296875" style="31" bestFit="1" customWidth="1"/>
    <col min="15" max="16" width="7.26953125" style="31" bestFit="1" customWidth="1"/>
    <col min="17" max="19" width="6.6328125" style="31" bestFit="1" customWidth="1"/>
    <col min="20" max="20" width="7.54296875" style="31" bestFit="1" customWidth="1"/>
    <col min="21" max="25" width="6.6328125" style="31" bestFit="1" customWidth="1"/>
    <col min="26" max="26" width="7.26953125" style="31" bestFit="1" customWidth="1"/>
    <col min="27" max="28" width="6.6328125" style="31" bestFit="1" customWidth="1"/>
    <col min="29" max="29" width="7.54296875" style="31" bestFit="1" customWidth="1"/>
    <col min="30" max="31" width="6.6328125" style="31" bestFit="1" customWidth="1"/>
    <col min="32" max="32" width="7.54296875" style="31" bestFit="1" customWidth="1"/>
    <col min="33" max="35" width="6.6328125" style="31" bestFit="1" customWidth="1"/>
    <col min="36" max="36" width="7.54296875" style="31" bestFit="1" customWidth="1"/>
    <col min="37" max="37" width="7.26953125" style="31" bestFit="1" customWidth="1"/>
    <col min="38" max="42" width="6.6328125" style="31" bestFit="1" customWidth="1"/>
    <col min="43" max="16384" width="12.08984375" style="1"/>
  </cols>
  <sheetData>
    <row r="1" spans="1:42" s="30" customFormat="1" x14ac:dyDescent="0.4">
      <c r="A1" s="217" t="s">
        <v>96</v>
      </c>
      <c r="B1" s="295" t="s">
        <v>268</v>
      </c>
      <c r="C1" s="296"/>
      <c r="D1" s="296"/>
      <c r="E1" s="296"/>
      <c r="F1" s="296"/>
      <c r="G1" s="296"/>
      <c r="H1" s="302" t="s">
        <v>116</v>
      </c>
      <c r="I1" s="303"/>
      <c r="J1" s="303"/>
      <c r="K1" s="303"/>
      <c r="L1" s="303"/>
      <c r="M1" s="303"/>
      <c r="N1" s="303"/>
      <c r="O1" s="303"/>
      <c r="P1" s="304"/>
      <c r="Q1" s="299" t="s">
        <v>107</v>
      </c>
      <c r="R1" s="300"/>
      <c r="S1" s="300"/>
      <c r="T1" s="300"/>
      <c r="U1" s="300"/>
      <c r="V1" s="300"/>
      <c r="W1" s="300"/>
      <c r="X1" s="300"/>
      <c r="Y1" s="300"/>
      <c r="Z1" s="300"/>
      <c r="AA1" s="300"/>
      <c r="AB1" s="300"/>
      <c r="AC1" s="300"/>
      <c r="AD1" s="300"/>
      <c r="AE1" s="300"/>
      <c r="AF1" s="300"/>
      <c r="AG1" s="297" t="s">
        <v>132</v>
      </c>
      <c r="AH1" s="298"/>
      <c r="AI1" s="298"/>
      <c r="AJ1" s="298"/>
      <c r="AK1" s="298"/>
      <c r="AL1" s="298"/>
      <c r="AM1" s="298"/>
      <c r="AN1" s="299" t="s">
        <v>155</v>
      </c>
      <c r="AO1" s="300"/>
      <c r="AP1" s="301"/>
    </row>
    <row r="2" spans="1:42" s="4" customFormat="1" x14ac:dyDescent="0.4">
      <c r="A2" s="218"/>
      <c r="B2" s="208" t="s">
        <v>269</v>
      </c>
      <c r="C2" s="208" t="s">
        <v>270</v>
      </c>
      <c r="D2" s="208" t="s">
        <v>264</v>
      </c>
      <c r="E2" s="208" t="s">
        <v>265</v>
      </c>
      <c r="F2" s="208" t="s">
        <v>266</v>
      </c>
      <c r="G2" s="208" t="s">
        <v>267</v>
      </c>
      <c r="H2" s="205" t="s">
        <v>133</v>
      </c>
      <c r="I2" s="205" t="s">
        <v>134</v>
      </c>
      <c r="J2" s="205" t="s">
        <v>135</v>
      </c>
      <c r="K2" s="205" t="s">
        <v>136</v>
      </c>
      <c r="L2" s="205" t="s">
        <v>137</v>
      </c>
      <c r="M2" s="205" t="s">
        <v>138</v>
      </c>
      <c r="N2" s="205" t="s">
        <v>260</v>
      </c>
      <c r="O2" s="205" t="s">
        <v>261</v>
      </c>
      <c r="P2" s="205" t="s">
        <v>262</v>
      </c>
      <c r="Q2" s="110" t="s">
        <v>139</v>
      </c>
      <c r="R2" s="110" t="s">
        <v>140</v>
      </c>
      <c r="S2" s="110" t="s">
        <v>141</v>
      </c>
      <c r="T2" s="110" t="s">
        <v>142</v>
      </c>
      <c r="U2" s="110" t="s">
        <v>153</v>
      </c>
      <c r="V2" s="110" t="s">
        <v>154</v>
      </c>
      <c r="W2" s="111" t="s">
        <v>143</v>
      </c>
      <c r="X2" s="111" t="s">
        <v>144</v>
      </c>
      <c r="Y2" s="111" t="s">
        <v>145</v>
      </c>
      <c r="Z2" s="111" t="s">
        <v>146</v>
      </c>
      <c r="AA2" s="111" t="s">
        <v>147</v>
      </c>
      <c r="AB2" s="111" t="s">
        <v>148</v>
      </c>
      <c r="AC2" s="111" t="s">
        <v>149</v>
      </c>
      <c r="AD2" s="111" t="s">
        <v>150</v>
      </c>
      <c r="AE2" s="111" t="s">
        <v>151</v>
      </c>
      <c r="AF2" s="111" t="s">
        <v>152</v>
      </c>
      <c r="AG2" s="206">
        <v>1</v>
      </c>
      <c r="AH2" s="206">
        <v>2</v>
      </c>
      <c r="AI2" s="206">
        <v>3</v>
      </c>
      <c r="AJ2" s="206" t="s">
        <v>101</v>
      </c>
      <c r="AK2" s="206" t="s">
        <v>102</v>
      </c>
      <c r="AL2" s="206">
        <v>6</v>
      </c>
      <c r="AM2" s="206">
        <v>7</v>
      </c>
      <c r="AN2" s="110" t="s">
        <v>156</v>
      </c>
      <c r="AO2" s="110" t="s">
        <v>157</v>
      </c>
      <c r="AP2" s="110" t="s">
        <v>158</v>
      </c>
    </row>
    <row r="3" spans="1:42" s="30" customFormat="1" x14ac:dyDescent="0.4">
      <c r="A3" s="36" t="s">
        <v>85</v>
      </c>
      <c r="B3" s="35" t="s">
        <v>83</v>
      </c>
      <c r="C3" s="35" t="s">
        <v>83</v>
      </c>
      <c r="D3" s="35" t="s">
        <v>224</v>
      </c>
      <c r="E3" s="35" t="s">
        <v>224</v>
      </c>
      <c r="F3" s="35" t="s">
        <v>83</v>
      </c>
      <c r="G3" s="35" t="s">
        <v>83</v>
      </c>
      <c r="H3" s="35" t="s">
        <v>94</v>
      </c>
      <c r="I3" s="35" t="s">
        <v>94</v>
      </c>
      <c r="J3" s="35" t="s">
        <v>94</v>
      </c>
      <c r="K3" s="35" t="s">
        <v>94</v>
      </c>
      <c r="L3" s="35" t="s">
        <v>94</v>
      </c>
      <c r="M3" s="35" t="s">
        <v>94</v>
      </c>
      <c r="N3" s="35" t="s">
        <v>94</v>
      </c>
      <c r="O3" s="35" t="s">
        <v>94</v>
      </c>
      <c r="P3" s="35" t="s">
        <v>94</v>
      </c>
      <c r="Q3" s="35" t="s">
        <v>94</v>
      </c>
      <c r="R3" s="35" t="s">
        <v>94</v>
      </c>
      <c r="S3" s="35" t="s">
        <v>94</v>
      </c>
      <c r="T3" s="35" t="s">
        <v>94</v>
      </c>
      <c r="U3" s="35" t="s">
        <v>94</v>
      </c>
      <c r="V3" s="35" t="s">
        <v>94</v>
      </c>
      <c r="W3" s="35" t="s">
        <v>83</v>
      </c>
      <c r="X3" s="35" t="s">
        <v>83</v>
      </c>
      <c r="Y3" s="35" t="s">
        <v>83</v>
      </c>
      <c r="Z3" s="35" t="s">
        <v>83</v>
      </c>
      <c r="AA3" s="35" t="s">
        <v>83</v>
      </c>
      <c r="AB3" s="35" t="s">
        <v>83</v>
      </c>
      <c r="AC3" s="35" t="s">
        <v>83</v>
      </c>
      <c r="AD3" s="35" t="s">
        <v>83</v>
      </c>
      <c r="AE3" s="35" t="s">
        <v>83</v>
      </c>
      <c r="AF3" s="35" t="s">
        <v>83</v>
      </c>
      <c r="AG3" s="35" t="s">
        <v>103</v>
      </c>
      <c r="AH3" s="35" t="s">
        <v>103</v>
      </c>
      <c r="AI3" s="35" t="s">
        <v>103</v>
      </c>
      <c r="AJ3" s="35" t="s">
        <v>103</v>
      </c>
      <c r="AK3" s="35" t="s">
        <v>103</v>
      </c>
      <c r="AL3" s="35" t="s">
        <v>94</v>
      </c>
      <c r="AM3" s="35" t="s">
        <v>94</v>
      </c>
      <c r="AN3" s="35" t="s">
        <v>94</v>
      </c>
      <c r="AO3" s="35" t="s">
        <v>83</v>
      </c>
      <c r="AP3" s="35" t="s">
        <v>94</v>
      </c>
    </row>
    <row r="4" spans="1:42" x14ac:dyDescent="0.4">
      <c r="A4" s="32" t="s">
        <v>86</v>
      </c>
      <c r="B4" s="33">
        <v>0.03</v>
      </c>
      <c r="C4" s="33">
        <v>0.03</v>
      </c>
      <c r="D4" s="33"/>
      <c r="E4" s="33"/>
      <c r="F4" s="33">
        <v>0.03</v>
      </c>
      <c r="G4" s="33">
        <v>0.03</v>
      </c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>
        <v>2.5999999999999999E-2</v>
      </c>
      <c r="X4" s="33">
        <v>2.5999999999999999E-2</v>
      </c>
      <c r="Y4" s="33">
        <v>2.5999999999999999E-2</v>
      </c>
      <c r="Z4" s="33">
        <v>2.5999999999999999E-2</v>
      </c>
      <c r="AA4" s="33">
        <v>2.5999999999999999E-2</v>
      </c>
      <c r="AB4" s="33">
        <v>2.5999999999999999E-2</v>
      </c>
      <c r="AC4" s="33">
        <v>2.5999999999999999E-2</v>
      </c>
      <c r="AD4" s="33">
        <v>2.5999999999999999E-2</v>
      </c>
      <c r="AE4" s="33">
        <v>2.5999999999999999E-2</v>
      </c>
      <c r="AF4" s="33">
        <v>2.5999999999999999E-2</v>
      </c>
      <c r="AG4" s="40">
        <v>0.05</v>
      </c>
      <c r="AH4" s="40">
        <v>0.05</v>
      </c>
      <c r="AI4" s="40">
        <v>0.05</v>
      </c>
      <c r="AJ4" s="40">
        <v>0.05</v>
      </c>
      <c r="AK4" s="40">
        <v>0.05</v>
      </c>
      <c r="AL4" s="40"/>
      <c r="AM4" s="40"/>
      <c r="AN4" s="33"/>
      <c r="AO4" s="33">
        <v>2.5999999999999999E-2</v>
      </c>
      <c r="AP4" s="33"/>
    </row>
    <row r="5" spans="1:42" s="41" customFormat="1" x14ac:dyDescent="0.4">
      <c r="A5" s="48" t="s">
        <v>87</v>
      </c>
      <c r="B5" s="40">
        <v>1.67</v>
      </c>
      <c r="C5" s="40">
        <v>1.67</v>
      </c>
      <c r="D5" s="40"/>
      <c r="E5" s="40"/>
      <c r="F5" s="40">
        <v>1.67</v>
      </c>
      <c r="G5" s="40">
        <v>1.67</v>
      </c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>
        <v>1.67</v>
      </c>
      <c r="X5" s="40">
        <v>1.67</v>
      </c>
      <c r="Y5" s="40">
        <v>1.67</v>
      </c>
      <c r="Z5" s="40">
        <v>1.67</v>
      </c>
      <c r="AA5" s="40">
        <v>1.67</v>
      </c>
      <c r="AB5" s="40">
        <v>1.67</v>
      </c>
      <c r="AC5" s="40">
        <v>1.67</v>
      </c>
      <c r="AD5" s="40">
        <v>1.67</v>
      </c>
      <c r="AE5" s="40">
        <v>1.67</v>
      </c>
      <c r="AF5" s="40">
        <v>1.67</v>
      </c>
      <c r="AG5" s="40">
        <v>1.67</v>
      </c>
      <c r="AH5" s="40">
        <v>1.67</v>
      </c>
      <c r="AI5" s="40">
        <v>1.67</v>
      </c>
      <c r="AJ5" s="40">
        <v>1.67</v>
      </c>
      <c r="AK5" s="40">
        <v>1.67</v>
      </c>
      <c r="AL5" s="40"/>
      <c r="AM5" s="40"/>
      <c r="AN5" s="40"/>
      <c r="AO5" s="40">
        <v>1.67</v>
      </c>
      <c r="AP5" s="40"/>
    </row>
    <row r="6" spans="1:42" s="41" customFormat="1" x14ac:dyDescent="0.4">
      <c r="A6" s="48" t="s">
        <v>88</v>
      </c>
      <c r="B6" s="40">
        <v>0.4</v>
      </c>
      <c r="C6" s="40">
        <v>0.4</v>
      </c>
      <c r="D6" s="40">
        <v>0.4</v>
      </c>
      <c r="E6" s="40">
        <v>0.4</v>
      </c>
      <c r="F6" s="40">
        <v>0.8</v>
      </c>
      <c r="G6" s="40">
        <v>0.8</v>
      </c>
      <c r="H6" s="40">
        <v>1</v>
      </c>
      <c r="I6" s="40">
        <v>0.8</v>
      </c>
      <c r="J6" s="40">
        <v>0.6</v>
      </c>
      <c r="K6" s="40">
        <v>0.9</v>
      </c>
      <c r="L6" s="40">
        <v>0.7</v>
      </c>
      <c r="M6" s="40">
        <v>0.5</v>
      </c>
      <c r="N6" s="40">
        <v>0.8</v>
      </c>
      <c r="O6" s="40">
        <v>0.4</v>
      </c>
      <c r="P6" s="40">
        <v>0.4</v>
      </c>
      <c r="Q6" s="40">
        <v>0.6</v>
      </c>
      <c r="R6" s="40">
        <v>0.6</v>
      </c>
      <c r="S6" s="40">
        <v>0.6</v>
      </c>
      <c r="T6" s="40">
        <v>0.4</v>
      </c>
      <c r="U6" s="40">
        <v>0.4</v>
      </c>
      <c r="V6" s="40">
        <v>0.4</v>
      </c>
      <c r="W6" s="40">
        <v>1</v>
      </c>
      <c r="X6" s="40">
        <v>0.8</v>
      </c>
      <c r="Y6" s="40">
        <v>0.8</v>
      </c>
      <c r="Z6" s="40">
        <v>0.8</v>
      </c>
      <c r="AA6" s="40">
        <v>0.6</v>
      </c>
      <c r="AB6" s="40">
        <v>0.6</v>
      </c>
      <c r="AC6" s="40">
        <v>0.6</v>
      </c>
      <c r="AD6" s="40">
        <v>0.4</v>
      </c>
      <c r="AE6" s="40">
        <v>0.4</v>
      </c>
      <c r="AF6" s="40">
        <v>0.4</v>
      </c>
      <c r="AG6" s="40">
        <v>0.6</v>
      </c>
      <c r="AH6" s="40">
        <v>0.5</v>
      </c>
      <c r="AI6" s="40">
        <v>0.4</v>
      </c>
      <c r="AJ6" s="40">
        <v>0.4</v>
      </c>
      <c r="AK6" s="40">
        <v>0.6</v>
      </c>
      <c r="AL6" s="40">
        <v>0.8</v>
      </c>
      <c r="AM6" s="40">
        <v>1</v>
      </c>
      <c r="AN6" s="40">
        <v>1</v>
      </c>
      <c r="AO6" s="40">
        <v>0.8</v>
      </c>
      <c r="AP6" s="40">
        <v>0.6</v>
      </c>
    </row>
    <row r="7" spans="1:42" s="41" customFormat="1" x14ac:dyDescent="0.4">
      <c r="A7" s="48" t="s">
        <v>89</v>
      </c>
      <c r="B7" s="40">
        <v>0.3</v>
      </c>
      <c r="C7" s="40">
        <v>0.3</v>
      </c>
      <c r="D7" s="40">
        <v>0.3</v>
      </c>
      <c r="E7" s="40">
        <v>0.3</v>
      </c>
      <c r="F7" s="40">
        <v>0.2</v>
      </c>
      <c r="G7" s="40">
        <v>0.2</v>
      </c>
      <c r="H7" s="40">
        <v>0</v>
      </c>
      <c r="I7" s="40">
        <v>0.1</v>
      </c>
      <c r="J7" s="40">
        <v>0.2</v>
      </c>
      <c r="K7" s="40">
        <v>0.1</v>
      </c>
      <c r="L7" s="40">
        <v>0.2</v>
      </c>
      <c r="M7" s="40">
        <v>0.3</v>
      </c>
      <c r="N7" s="40">
        <v>0.2</v>
      </c>
      <c r="O7" s="40">
        <v>0.3</v>
      </c>
      <c r="P7" s="40">
        <v>0.4</v>
      </c>
      <c r="Q7" s="40">
        <v>0.2</v>
      </c>
      <c r="R7" s="40">
        <v>0.2</v>
      </c>
      <c r="S7" s="40">
        <v>0.2</v>
      </c>
      <c r="T7" s="40">
        <v>0.3</v>
      </c>
      <c r="U7" s="40">
        <v>0.3</v>
      </c>
      <c r="V7" s="40">
        <v>0.3</v>
      </c>
      <c r="W7" s="40">
        <v>0</v>
      </c>
      <c r="X7" s="40">
        <v>0.1</v>
      </c>
      <c r="Y7" s="40">
        <v>0.1</v>
      </c>
      <c r="Z7" s="40">
        <v>0.1</v>
      </c>
      <c r="AA7" s="40">
        <v>0.2</v>
      </c>
      <c r="AB7" s="40">
        <v>0.2</v>
      </c>
      <c r="AC7" s="40">
        <v>0.2</v>
      </c>
      <c r="AD7" s="40">
        <v>0.3</v>
      </c>
      <c r="AE7" s="40">
        <v>0.3</v>
      </c>
      <c r="AF7" s="40">
        <v>0.3</v>
      </c>
      <c r="AG7" s="40">
        <v>0.2</v>
      </c>
      <c r="AH7" s="40">
        <v>0.25</v>
      </c>
      <c r="AI7" s="40">
        <v>0.3</v>
      </c>
      <c r="AJ7" s="40">
        <v>0.3</v>
      </c>
      <c r="AK7" s="40">
        <v>0.2</v>
      </c>
      <c r="AL7" s="40">
        <v>0</v>
      </c>
      <c r="AM7" s="40">
        <v>0</v>
      </c>
      <c r="AN7" s="40">
        <v>0</v>
      </c>
      <c r="AO7" s="40">
        <v>0</v>
      </c>
      <c r="AP7" s="40">
        <v>0</v>
      </c>
    </row>
    <row r="8" spans="1:42" s="41" customFormat="1" x14ac:dyDescent="0.4">
      <c r="A8" s="48" t="s">
        <v>90</v>
      </c>
      <c r="B8" s="40">
        <v>0.3</v>
      </c>
      <c r="C8" s="40">
        <v>0.3</v>
      </c>
      <c r="D8" s="40">
        <v>0.3</v>
      </c>
      <c r="E8" s="40">
        <v>0.3</v>
      </c>
      <c r="F8" s="40">
        <v>0</v>
      </c>
      <c r="G8" s="40">
        <v>0</v>
      </c>
      <c r="H8" s="40">
        <v>0</v>
      </c>
      <c r="I8" s="40">
        <v>0.1</v>
      </c>
      <c r="J8" s="40">
        <v>0.2</v>
      </c>
      <c r="K8" s="40">
        <v>0</v>
      </c>
      <c r="L8" s="40">
        <v>0.1</v>
      </c>
      <c r="M8" s="40">
        <v>0.2</v>
      </c>
      <c r="N8" s="40">
        <v>0</v>
      </c>
      <c r="O8" s="40">
        <v>0.3</v>
      </c>
      <c r="P8" s="40">
        <v>0.2</v>
      </c>
      <c r="Q8" s="40">
        <v>0.19999999999999996</v>
      </c>
      <c r="R8" s="40">
        <v>0.19999999999999996</v>
      </c>
      <c r="S8" s="40">
        <v>0.19999999999999996</v>
      </c>
      <c r="T8" s="40">
        <v>0.3</v>
      </c>
      <c r="U8" s="40">
        <v>0.3</v>
      </c>
      <c r="V8" s="40">
        <v>0.3</v>
      </c>
      <c r="W8" s="40">
        <v>0</v>
      </c>
      <c r="X8" s="40">
        <v>0.1</v>
      </c>
      <c r="Y8" s="40">
        <v>0.1</v>
      </c>
      <c r="Z8" s="40">
        <v>0.1</v>
      </c>
      <c r="AA8" s="40">
        <v>0.19999999999999996</v>
      </c>
      <c r="AB8" s="40">
        <v>0.19999999999999996</v>
      </c>
      <c r="AC8" s="40">
        <v>0.19999999999999996</v>
      </c>
      <c r="AD8" s="40">
        <v>0.3</v>
      </c>
      <c r="AE8" s="40">
        <v>0.3</v>
      </c>
      <c r="AF8" s="40">
        <v>0.3</v>
      </c>
      <c r="AG8" s="40">
        <v>0.2</v>
      </c>
      <c r="AH8" s="40">
        <v>0.25</v>
      </c>
      <c r="AI8" s="40">
        <v>0.3</v>
      </c>
      <c r="AJ8" s="40">
        <v>0.3</v>
      </c>
      <c r="AK8" s="40">
        <v>0.2</v>
      </c>
      <c r="AL8" s="40">
        <v>0.2</v>
      </c>
      <c r="AM8" s="40">
        <v>0</v>
      </c>
      <c r="AN8" s="40">
        <v>0</v>
      </c>
      <c r="AO8" s="40">
        <v>0.2</v>
      </c>
      <c r="AP8" s="40">
        <v>0.4</v>
      </c>
    </row>
    <row r="9" spans="1:42" s="30" customFormat="1" x14ac:dyDescent="0.4">
      <c r="A9" s="36" t="s">
        <v>91</v>
      </c>
      <c r="B9" s="101">
        <v>1</v>
      </c>
      <c r="C9" s="101">
        <v>1</v>
      </c>
      <c r="D9" s="101">
        <v>1</v>
      </c>
      <c r="E9" s="101">
        <v>1</v>
      </c>
      <c r="F9" s="101">
        <v>1</v>
      </c>
      <c r="G9" s="101">
        <v>1</v>
      </c>
      <c r="H9" s="35">
        <v>1</v>
      </c>
      <c r="I9" s="35">
        <v>1</v>
      </c>
      <c r="J9" s="35">
        <v>1</v>
      </c>
      <c r="K9" s="35">
        <v>1</v>
      </c>
      <c r="L9" s="35">
        <v>1</v>
      </c>
      <c r="M9" s="35">
        <v>1</v>
      </c>
      <c r="N9" s="35">
        <v>1</v>
      </c>
      <c r="O9" s="35">
        <v>1</v>
      </c>
      <c r="P9" s="35">
        <v>1</v>
      </c>
      <c r="Q9" s="35">
        <v>0</v>
      </c>
      <c r="R9" s="35">
        <v>1</v>
      </c>
      <c r="S9" s="35">
        <v>2</v>
      </c>
      <c r="T9" s="35">
        <v>0</v>
      </c>
      <c r="U9" s="35">
        <v>1</v>
      </c>
      <c r="V9" s="35">
        <v>2</v>
      </c>
      <c r="W9" s="35">
        <v>0</v>
      </c>
      <c r="X9" s="35">
        <v>0</v>
      </c>
      <c r="Y9" s="35">
        <v>1</v>
      </c>
      <c r="Z9" s="35">
        <v>2</v>
      </c>
      <c r="AA9" s="35">
        <v>0</v>
      </c>
      <c r="AB9" s="35">
        <v>1</v>
      </c>
      <c r="AC9" s="35">
        <v>2</v>
      </c>
      <c r="AD9" s="35">
        <v>0</v>
      </c>
      <c r="AE9" s="35">
        <v>1</v>
      </c>
      <c r="AF9" s="35">
        <v>2</v>
      </c>
      <c r="AG9" s="35">
        <v>1</v>
      </c>
      <c r="AH9" s="35">
        <v>1</v>
      </c>
      <c r="AI9" s="35">
        <v>1</v>
      </c>
      <c r="AJ9" s="35">
        <v>2</v>
      </c>
      <c r="AK9" s="35">
        <v>2</v>
      </c>
      <c r="AL9" s="35">
        <v>3</v>
      </c>
      <c r="AM9" s="35">
        <v>0</v>
      </c>
      <c r="AN9" s="35">
        <v>0</v>
      </c>
      <c r="AO9" s="35">
        <v>3</v>
      </c>
      <c r="AP9" s="35">
        <v>3</v>
      </c>
    </row>
    <row r="10" spans="1:42" s="30" customFormat="1" x14ac:dyDescent="0.4">
      <c r="A10" s="36" t="s">
        <v>228</v>
      </c>
      <c r="B10" s="35" t="s">
        <v>103</v>
      </c>
      <c r="C10" s="35" t="s">
        <v>224</v>
      </c>
      <c r="D10" s="35" t="s">
        <v>83</v>
      </c>
      <c r="E10" s="35" t="s">
        <v>224</v>
      </c>
      <c r="F10" s="35" t="s">
        <v>103</v>
      </c>
      <c r="G10" s="35" t="s">
        <v>103</v>
      </c>
      <c r="H10" s="35" t="s">
        <v>224</v>
      </c>
      <c r="I10" s="35" t="s">
        <v>224</v>
      </c>
      <c r="J10" s="35" t="s">
        <v>224</v>
      </c>
      <c r="K10" s="35" t="s">
        <v>224</v>
      </c>
      <c r="L10" s="35" t="s">
        <v>224</v>
      </c>
      <c r="M10" s="35" t="s">
        <v>224</v>
      </c>
      <c r="N10" s="35" t="s">
        <v>224</v>
      </c>
      <c r="O10" s="35" t="s">
        <v>224</v>
      </c>
      <c r="P10" s="35" t="s">
        <v>224</v>
      </c>
      <c r="Q10" s="35" t="s">
        <v>83</v>
      </c>
      <c r="R10" s="35" t="s">
        <v>83</v>
      </c>
      <c r="S10" s="35" t="s">
        <v>83</v>
      </c>
      <c r="T10" s="35" t="s">
        <v>83</v>
      </c>
      <c r="U10" s="35" t="s">
        <v>83</v>
      </c>
      <c r="V10" s="35" t="s">
        <v>83</v>
      </c>
      <c r="W10" s="35" t="s">
        <v>83</v>
      </c>
      <c r="X10" s="35" t="s">
        <v>83</v>
      </c>
      <c r="Y10" s="35" t="s">
        <v>83</v>
      </c>
      <c r="Z10" s="35" t="s">
        <v>83</v>
      </c>
      <c r="AA10" s="35" t="s">
        <v>83</v>
      </c>
      <c r="AB10" s="35" t="s">
        <v>83</v>
      </c>
      <c r="AC10" s="35" t="s">
        <v>83</v>
      </c>
      <c r="AD10" s="35" t="s">
        <v>83</v>
      </c>
      <c r="AE10" s="35" t="s">
        <v>83</v>
      </c>
      <c r="AF10" s="35" t="s">
        <v>83</v>
      </c>
      <c r="AG10" s="35" t="s">
        <v>83</v>
      </c>
      <c r="AH10" s="35" t="s">
        <v>83</v>
      </c>
      <c r="AI10" s="35" t="s">
        <v>83</v>
      </c>
      <c r="AJ10" s="35" t="s">
        <v>83</v>
      </c>
      <c r="AK10" s="35" t="s">
        <v>83</v>
      </c>
      <c r="AL10" s="35" t="s">
        <v>83</v>
      </c>
      <c r="AM10" s="35" t="s">
        <v>83</v>
      </c>
      <c r="AN10" s="35" t="s">
        <v>227</v>
      </c>
      <c r="AO10" s="35" t="s">
        <v>227</v>
      </c>
      <c r="AP10" s="35" t="s">
        <v>227</v>
      </c>
    </row>
    <row r="11" spans="1:42" x14ac:dyDescent="0.4">
      <c r="A11" s="7" t="s">
        <v>93</v>
      </c>
      <c r="B11" s="107">
        <v>7.0545288539826796</v>
      </c>
      <c r="C11" s="107">
        <v>8.1759563131054769</v>
      </c>
      <c r="D11" s="107">
        <v>7.4048954680762495</v>
      </c>
      <c r="E11" s="107">
        <v>8.1759563131054769</v>
      </c>
      <c r="F11" s="107">
        <v>10.237399909589541</v>
      </c>
      <c r="G11" s="107">
        <v>8.4333327732016272</v>
      </c>
      <c r="H11" s="107">
        <v>10.031985871271583</v>
      </c>
      <c r="I11" s="107">
        <v>8.4109304439916777</v>
      </c>
      <c r="J11" s="107">
        <v>6.7898750167117718</v>
      </c>
      <c r="K11" s="107">
        <v>9.3141290311188349</v>
      </c>
      <c r="L11" s="107">
        <v>7.6930736038389318</v>
      </c>
      <c r="M11" s="107">
        <v>6.0720181765590215</v>
      </c>
      <c r="N11" s="107">
        <v>11.27300904015671</v>
      </c>
      <c r="O11" s="107">
        <v>5.1688195894318625</v>
      </c>
      <c r="P11" s="107">
        <v>5.3541613364062721</v>
      </c>
      <c r="Q11" s="107">
        <v>10.470868496759245</v>
      </c>
      <c r="R11" s="107">
        <v>6.8682151968639227</v>
      </c>
      <c r="S11" s="107">
        <v>7.2790583274514882</v>
      </c>
      <c r="T11" s="107">
        <v>11.039043420615634</v>
      </c>
      <c r="U11" s="107">
        <v>5.2525453357876</v>
      </c>
      <c r="V11" s="107">
        <v>8.769073554519899</v>
      </c>
      <c r="W11" s="107">
        <v>8.9674925549271425</v>
      </c>
      <c r="X11" s="107">
        <v>9.5724642901855912</v>
      </c>
      <c r="Y11" s="107">
        <v>8.2187322034848282</v>
      </c>
      <c r="Z11" s="107">
        <v>10.462474499419123</v>
      </c>
      <c r="AA11" s="107">
        <v>10.177436025444031</v>
      </c>
      <c r="AB11" s="107">
        <v>6.5976767762049189</v>
      </c>
      <c r="AC11" s="107">
        <v>11.957456443911097</v>
      </c>
      <c r="AD11" s="107">
        <v>10.782407760702474</v>
      </c>
      <c r="AE11" s="107">
        <v>4.9766213489250122</v>
      </c>
      <c r="AF11" s="107">
        <v>4.4692486340209534</v>
      </c>
      <c r="AG11" s="107">
        <v>6.1532543631198093</v>
      </c>
      <c r="AH11" s="107">
        <v>5.2989319943303608</v>
      </c>
      <c r="AI11" s="107">
        <v>4.4446096255409104</v>
      </c>
      <c r="AJ11" s="107">
        <v>11.23770393771297</v>
      </c>
      <c r="AK11" s="107">
        <v>10.445870857462817</v>
      </c>
      <c r="AL11" s="107">
        <v>9.7251180716798071</v>
      </c>
      <c r="AM11" s="107">
        <v>4.9758972168354862</v>
      </c>
      <c r="AN11" s="107">
        <v>4.9758972168354862</v>
      </c>
      <c r="AO11" s="107">
        <v>2.815012410726184</v>
      </c>
      <c r="AP11" s="107">
        <v>8.992458589480135</v>
      </c>
    </row>
    <row r="12" spans="1:42" s="38" customFormat="1" x14ac:dyDescent="0.4">
      <c r="A12" s="37" t="s">
        <v>95</v>
      </c>
      <c r="B12" s="108">
        <v>7.8842084861955986E-2</v>
      </c>
      <c r="C12" s="108">
        <v>8.5042214467593746E-2</v>
      </c>
      <c r="D12" s="108">
        <v>8.0875271802641091E-2</v>
      </c>
      <c r="E12" s="108">
        <v>8.5042214467593746E-2</v>
      </c>
      <c r="F12" s="108">
        <v>9.4560555050058337E-2</v>
      </c>
      <c r="G12" s="108">
        <v>8.634933134732159E-2</v>
      </c>
      <c r="H12" s="108">
        <v>9.3699111106518185E-2</v>
      </c>
      <c r="I12" s="108">
        <v>8.6237092742045052E-2</v>
      </c>
      <c r="J12" s="108">
        <v>7.7240883233985258E-2</v>
      </c>
      <c r="K12" s="108">
        <v>9.0549412070690671E-2</v>
      </c>
      <c r="L12" s="108">
        <v>8.2479428119591303E-2</v>
      </c>
      <c r="M12" s="108">
        <v>7.2575267868753901E-2</v>
      </c>
      <c r="N12" s="108">
        <v>9.8665333639455399E-2</v>
      </c>
      <c r="O12" s="108">
        <v>6.5886506957990809E-2</v>
      </c>
      <c r="P12" s="108">
        <v>6.7346132063272002E-2</v>
      </c>
      <c r="Q12" s="108">
        <v>9.5519705783213338E-2</v>
      </c>
      <c r="R12" s="108">
        <v>7.7721017530673508E-2</v>
      </c>
      <c r="S12" s="108">
        <v>8.0155886989654146E-2</v>
      </c>
      <c r="T12" s="108">
        <v>9.7770647407154021E-2</v>
      </c>
      <c r="U12" s="108">
        <v>6.6552000827124536E-2</v>
      </c>
      <c r="V12" s="108">
        <v>8.7997959320098351E-2</v>
      </c>
      <c r="W12" s="108">
        <v>8.8943983946293992E-2</v>
      </c>
      <c r="X12" s="108">
        <v>9.1708955603972298E-2</v>
      </c>
      <c r="Y12" s="108">
        <v>8.5262173251122286E-2</v>
      </c>
      <c r="Z12" s="108">
        <v>9.5485578833338858E-2</v>
      </c>
      <c r="AA12" s="108">
        <v>9.4310814457024605E-2</v>
      </c>
      <c r="AB12" s="108">
        <v>7.6039995218285528E-2</v>
      </c>
      <c r="AC12" s="108">
        <v>0.10118373164929362</v>
      </c>
      <c r="AD12" s="108">
        <v>9.6768064255754016E-2</v>
      </c>
      <c r="AE12" s="108">
        <v>6.4318761297560201E-2</v>
      </c>
      <c r="AF12" s="108">
        <v>5.9882448632422092E-2</v>
      </c>
      <c r="AG12" s="108">
        <v>7.3129116438197306E-2</v>
      </c>
      <c r="AH12" s="108">
        <v>6.691632887064447E-2</v>
      </c>
      <c r="AI12" s="108">
        <v>5.9654874202063946E-2</v>
      </c>
      <c r="AJ12" s="108">
        <v>9.8531476564869269E-2</v>
      </c>
      <c r="AK12" s="108">
        <v>9.5417996864709531E-2</v>
      </c>
      <c r="AL12" s="108">
        <v>9.2380087435690816E-2</v>
      </c>
      <c r="AM12" s="108">
        <v>6.4312745280318051E-2</v>
      </c>
      <c r="AN12" s="108">
        <v>6.4312745280318051E-2</v>
      </c>
      <c r="AO12" s="108">
        <v>4.1021279487860829E-2</v>
      </c>
      <c r="AP12" s="108">
        <v>8.906158940247999E-2</v>
      </c>
    </row>
    <row r="13" spans="1:42" s="38" customFormat="1" x14ac:dyDescent="0.4">
      <c r="A13" s="37" t="s">
        <v>92</v>
      </c>
      <c r="B13" s="108">
        <v>8.3197788506798487E-2</v>
      </c>
      <c r="C13" s="108">
        <v>8.5042214467593746E-2</v>
      </c>
      <c r="D13" s="108">
        <v>8.5042214467593746E-2</v>
      </c>
      <c r="E13" s="108">
        <v>8.5042214467593746E-2</v>
      </c>
      <c r="F13" s="108">
        <v>9.7652354641691641E-2</v>
      </c>
      <c r="G13" s="108">
        <v>9.0047480263035773E-2</v>
      </c>
      <c r="H13" s="108">
        <v>9.3699111106518185E-2</v>
      </c>
      <c r="I13" s="108">
        <v>8.6237092742045052E-2</v>
      </c>
      <c r="J13" s="108">
        <v>7.7240883233985258E-2</v>
      </c>
      <c r="K13" s="108">
        <v>9.0549412070690671E-2</v>
      </c>
      <c r="L13" s="108">
        <v>8.2479428119591303E-2</v>
      </c>
      <c r="M13" s="108">
        <v>7.2575267868753901E-2</v>
      </c>
      <c r="N13" s="108">
        <v>9.8665333639455399E-2</v>
      </c>
      <c r="O13" s="108">
        <v>6.5886506957990809E-2</v>
      </c>
      <c r="P13" s="108">
        <v>6.7346132063272002E-2</v>
      </c>
      <c r="Q13" s="108">
        <v>9.8547518194693984E-2</v>
      </c>
      <c r="R13" s="108">
        <v>8.2170297343814758E-2</v>
      </c>
      <c r="S13" s="108">
        <v>8.437526637441839E-2</v>
      </c>
      <c r="T13" s="108">
        <v>0.10064420009273678</v>
      </c>
      <c r="U13" s="108">
        <v>7.2224093719378324E-2</v>
      </c>
      <c r="V13" s="108">
        <v>9.1554113476396193E-2</v>
      </c>
      <c r="W13" s="108">
        <v>9.2438669246214022E-2</v>
      </c>
      <c r="X13" s="108">
        <v>9.4999124276188729E-2</v>
      </c>
      <c r="Y13" s="108">
        <v>8.9049048031391687E-2</v>
      </c>
      <c r="Z13" s="108">
        <v>9.8515644933709012E-2</v>
      </c>
      <c r="AA13" s="108">
        <v>9.7419496621969026E-2</v>
      </c>
      <c r="AB13" s="108">
        <v>8.0669775412576028E-2</v>
      </c>
      <c r="AC13" s="108">
        <v>0.10385994327175974</v>
      </c>
      <c r="AD13" s="108">
        <v>9.9714585421220692E-2</v>
      </c>
      <c r="AE13" s="108">
        <v>7.0290635512400002E-2</v>
      </c>
      <c r="AF13" s="108">
        <v>6.217955125776764E-2</v>
      </c>
      <c r="AG13" s="108">
        <v>7.8061621848104945E-2</v>
      </c>
      <c r="AH13" s="108">
        <v>7.2561368807474436E-2</v>
      </c>
      <c r="AI13" s="108">
        <v>6.6260166774459561E-2</v>
      </c>
      <c r="AJ13" s="108">
        <v>0.10136689506797092</v>
      </c>
      <c r="AK13" s="108">
        <v>9.8452530947161998E-2</v>
      </c>
      <c r="AL13" s="108">
        <v>9.5622449820521593E-2</v>
      </c>
      <c r="AM13" s="108">
        <v>7.0285397375348779E-2</v>
      </c>
      <c r="AN13" s="108">
        <v>7.0285397375348779E-2</v>
      </c>
      <c r="AO13" s="108">
        <v>4.4549132047428497E-2</v>
      </c>
      <c r="AP13" s="108">
        <v>9.254732218452788E-2</v>
      </c>
    </row>
    <row r="14" spans="1:42" s="105" customFormat="1" x14ac:dyDescent="0.4">
      <c r="A14" s="106" t="s">
        <v>225</v>
      </c>
      <c r="B14" s="109" t="s">
        <v>224</v>
      </c>
      <c r="C14" s="109" t="s">
        <v>224</v>
      </c>
      <c r="D14" s="109" t="s">
        <v>224</v>
      </c>
      <c r="E14" s="109" t="s">
        <v>224</v>
      </c>
      <c r="F14" s="109" t="s">
        <v>224</v>
      </c>
      <c r="G14" s="109" t="s">
        <v>224</v>
      </c>
      <c r="H14" s="109" t="s">
        <v>224</v>
      </c>
      <c r="I14" s="109" t="s">
        <v>224</v>
      </c>
      <c r="J14" s="109" t="s">
        <v>224</v>
      </c>
      <c r="K14" s="109" t="s">
        <v>224</v>
      </c>
      <c r="L14" s="109" t="s">
        <v>224</v>
      </c>
      <c r="M14" s="109" t="s">
        <v>224</v>
      </c>
      <c r="N14" s="109" t="s">
        <v>224</v>
      </c>
      <c r="O14" s="109" t="s">
        <v>224</v>
      </c>
      <c r="P14" s="109" t="s">
        <v>224</v>
      </c>
      <c r="Q14" s="109" t="s">
        <v>83</v>
      </c>
      <c r="R14" s="109" t="s">
        <v>83</v>
      </c>
      <c r="S14" s="109" t="s">
        <v>224</v>
      </c>
      <c r="T14" s="109" t="s">
        <v>83</v>
      </c>
      <c r="U14" s="109" t="s">
        <v>224</v>
      </c>
      <c r="V14" s="109" t="s">
        <v>224</v>
      </c>
      <c r="W14" s="109" t="s">
        <v>224</v>
      </c>
      <c r="X14" s="109" t="s">
        <v>224</v>
      </c>
      <c r="Y14" s="109" t="s">
        <v>224</v>
      </c>
      <c r="Z14" s="109" t="s">
        <v>224</v>
      </c>
      <c r="AA14" s="109" t="s">
        <v>224</v>
      </c>
      <c r="AB14" s="109" t="s">
        <v>224</v>
      </c>
      <c r="AC14" s="109" t="s">
        <v>224</v>
      </c>
      <c r="AD14" s="109" t="s">
        <v>224</v>
      </c>
      <c r="AE14" s="109" t="s">
        <v>224</v>
      </c>
      <c r="AF14" s="109" t="s">
        <v>224</v>
      </c>
      <c r="AG14" s="109" t="s">
        <v>224</v>
      </c>
      <c r="AH14" s="109" t="s">
        <v>224</v>
      </c>
      <c r="AI14" s="109" t="s">
        <v>224</v>
      </c>
      <c r="AJ14" s="109" t="s">
        <v>224</v>
      </c>
      <c r="AK14" s="109" t="s">
        <v>224</v>
      </c>
      <c r="AL14" s="109" t="s">
        <v>224</v>
      </c>
      <c r="AM14" s="109" t="s">
        <v>224</v>
      </c>
      <c r="AN14" s="109" t="s">
        <v>224</v>
      </c>
      <c r="AO14" s="109" t="s">
        <v>224</v>
      </c>
      <c r="AP14" s="109" t="s">
        <v>224</v>
      </c>
    </row>
    <row r="15" spans="1:42" x14ac:dyDescent="0.4">
      <c r="A15" s="32" t="s">
        <v>109</v>
      </c>
      <c r="B15" s="50">
        <f>B6+B7*2</f>
        <v>1</v>
      </c>
      <c r="C15" s="50">
        <f>C6+C7*2</f>
        <v>1</v>
      </c>
      <c r="D15" s="50">
        <f t="shared" ref="D15" si="0">D6+D7*2</f>
        <v>1</v>
      </c>
      <c r="E15" s="50">
        <f>E6+E7*2</f>
        <v>1</v>
      </c>
      <c r="F15" s="50">
        <f t="shared" ref="F15:G15" si="1">F6+F7*2</f>
        <v>1.2000000000000002</v>
      </c>
      <c r="G15" s="50">
        <f t="shared" si="1"/>
        <v>1.2000000000000002</v>
      </c>
      <c r="H15" s="50">
        <f>H6+H7*2</f>
        <v>1</v>
      </c>
      <c r="I15" s="50">
        <f>I6+I7*2</f>
        <v>1</v>
      </c>
      <c r="J15" s="50">
        <f>J6+J7*2</f>
        <v>1</v>
      </c>
      <c r="K15" s="50">
        <f>K6+K7*2</f>
        <v>1.1000000000000001</v>
      </c>
      <c r="L15" s="50">
        <f t="shared" ref="L15:M15" si="2">L6+L7*2</f>
        <v>1.1000000000000001</v>
      </c>
      <c r="M15" s="50">
        <f t="shared" si="2"/>
        <v>1.1000000000000001</v>
      </c>
      <c r="N15" s="50">
        <f>N6+N7*2</f>
        <v>1.2000000000000002</v>
      </c>
      <c r="O15" s="50">
        <f>O6+O7*2</f>
        <v>1</v>
      </c>
      <c r="P15" s="50">
        <f>P6+P7*2</f>
        <v>1.2000000000000002</v>
      </c>
      <c r="Q15" s="50">
        <f t="shared" ref="Q15:AF15" si="3">Q6+Q7*2</f>
        <v>1</v>
      </c>
      <c r="R15" s="50">
        <f t="shared" si="3"/>
        <v>1</v>
      </c>
      <c r="S15" s="50">
        <f t="shared" si="3"/>
        <v>1</v>
      </c>
      <c r="T15" s="50">
        <f t="shared" si="3"/>
        <v>1</v>
      </c>
      <c r="U15" s="50">
        <f t="shared" ref="U15:V15" si="4">U6+U7*2</f>
        <v>1</v>
      </c>
      <c r="V15" s="50">
        <f t="shared" si="4"/>
        <v>1</v>
      </c>
      <c r="W15" s="50">
        <f t="shared" si="3"/>
        <v>1</v>
      </c>
      <c r="X15" s="50">
        <f t="shared" si="3"/>
        <v>1</v>
      </c>
      <c r="Y15" s="50">
        <f t="shared" si="3"/>
        <v>1</v>
      </c>
      <c r="Z15" s="50">
        <f t="shared" si="3"/>
        <v>1</v>
      </c>
      <c r="AA15" s="50">
        <f t="shared" si="3"/>
        <v>1</v>
      </c>
      <c r="AB15" s="50">
        <f t="shared" si="3"/>
        <v>1</v>
      </c>
      <c r="AC15" s="50">
        <f t="shared" si="3"/>
        <v>1</v>
      </c>
      <c r="AD15" s="50">
        <f t="shared" si="3"/>
        <v>1</v>
      </c>
      <c r="AE15" s="50">
        <f t="shared" si="3"/>
        <v>1</v>
      </c>
      <c r="AF15" s="50">
        <f t="shared" si="3"/>
        <v>1</v>
      </c>
      <c r="AG15" s="50">
        <f t="shared" ref="AG15:AM15" si="5">AG6+AG7*2</f>
        <v>1</v>
      </c>
      <c r="AH15" s="50">
        <f t="shared" si="5"/>
        <v>1</v>
      </c>
      <c r="AI15" s="50">
        <f t="shared" si="5"/>
        <v>1</v>
      </c>
      <c r="AJ15" s="50">
        <f t="shared" si="5"/>
        <v>1</v>
      </c>
      <c r="AK15" s="50">
        <f t="shared" si="5"/>
        <v>1</v>
      </c>
      <c r="AL15" s="50">
        <f t="shared" si="5"/>
        <v>0.8</v>
      </c>
      <c r="AM15" s="50">
        <f t="shared" si="5"/>
        <v>1</v>
      </c>
      <c r="AN15" s="50">
        <f t="shared" ref="AN15:AP15" si="6">AN6+AN7*2</f>
        <v>1</v>
      </c>
      <c r="AO15" s="50">
        <f t="shared" ref="AO15" si="7">AO6+AO7*2</f>
        <v>0.8</v>
      </c>
      <c r="AP15" s="50">
        <f t="shared" si="6"/>
        <v>0.6</v>
      </c>
    </row>
  </sheetData>
  <mergeCells count="6">
    <mergeCell ref="B1:G1"/>
    <mergeCell ref="A1:A2"/>
    <mergeCell ref="AG1:AM1"/>
    <mergeCell ref="AN1:AP1"/>
    <mergeCell ref="H1:P1"/>
    <mergeCell ref="Q1:AF1"/>
  </mergeCells>
  <phoneticPr fontId="2" type="noConversion"/>
  <conditionalFormatting sqref="N11:BI14 B11:L14">
    <cfRule type="expression" dxfId="1" priority="4">
      <formula>B$14="是"</formula>
    </cfRule>
  </conditionalFormatting>
  <conditionalFormatting sqref="M11:M14">
    <cfRule type="expression" dxfId="0" priority="2">
      <formula>M$14="是"</formula>
    </cfRule>
  </conditionalFormatting>
  <dataValidations count="4">
    <dataValidation type="list" allowBlank="1" showInputMessage="1" showErrorMessage="1" sqref="B9:G9" xr:uid="{4589A8A5-FF7E-40CC-A07B-8B95F6FAA4EB}">
      <formula1>"0,1,2,3,4"</formula1>
    </dataValidation>
    <dataValidation type="decimal" allowBlank="1" showInputMessage="1" showErrorMessage="1" sqref="B4:G5" xr:uid="{3C4D64F9-4302-40ED-BD3F-1C56025558F7}">
      <formula1>0</formula1>
      <formula2>10</formula2>
    </dataValidation>
    <dataValidation type="decimal" allowBlank="1" showInputMessage="1" showErrorMessage="1" sqref="B6:G8" xr:uid="{BA73BC8A-E7B9-45CB-B16A-8D2256101E28}">
      <formula1>0</formula1>
      <formula2>1</formula2>
    </dataValidation>
    <dataValidation type="list" allowBlank="1" showInputMessage="1" showErrorMessage="1" sqref="B10:G10 B3:G3" xr:uid="{941B5837-5C90-40DF-8033-F2C721894CA3}">
      <formula1>"是,否"</formula1>
    </dataValidation>
  </dataValidations>
  <pageMargins left="0.7" right="0.7" top="0.75" bottom="0.75" header="0.3" footer="0.3"/>
  <pageSetup paperSize="9"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3553" r:id="rId4" name="Button 1">
              <controlPr defaultSize="0" print="0" autoFill="0" autoPict="0" macro="[0]!GetResult">
                <anchor moveWithCells="1" sizeWithCells="1">
                  <from>
                    <xdr:col>0</xdr:col>
                    <xdr:colOff>19050</xdr:colOff>
                    <xdr:row>0</xdr:row>
                    <xdr:rowOff>12700</xdr:rowOff>
                  </from>
                  <to>
                    <xdr:col>0</xdr:col>
                    <xdr:colOff>933450</xdr:colOff>
                    <xdr:row>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工作表10"/>
  <dimension ref="A1:K20"/>
  <sheetViews>
    <sheetView topLeftCell="A7" workbookViewId="0">
      <selection activeCell="N19" sqref="N19"/>
    </sheetView>
  </sheetViews>
  <sheetFormatPr defaultRowHeight="17" x14ac:dyDescent="0.4"/>
  <cols>
    <col min="1" max="1" width="7.54296875" style="17" bestFit="1" customWidth="1"/>
    <col min="2" max="2" width="6.26953125" style="22" bestFit="1" customWidth="1"/>
    <col min="3" max="3" width="7.26953125" style="23" bestFit="1" customWidth="1"/>
    <col min="4" max="4" width="7.26953125" style="17" bestFit="1" customWidth="1"/>
    <col min="5" max="5" width="5" style="22" bestFit="1" customWidth="1"/>
    <col min="6" max="7" width="7.26953125" style="17" bestFit="1" customWidth="1"/>
    <col min="8" max="8" width="6" style="22" bestFit="1" customWidth="1"/>
    <col min="9" max="10" width="7.26953125" style="17" bestFit="1" customWidth="1"/>
    <col min="11" max="11" width="8.26953125" style="17" bestFit="1" customWidth="1"/>
    <col min="12" max="16384" width="8.7265625" style="17"/>
  </cols>
  <sheetData>
    <row r="1" spans="1:11" x14ac:dyDescent="0.4">
      <c r="A1" s="308" t="s">
        <v>77</v>
      </c>
      <c r="B1" s="309" t="s">
        <v>78</v>
      </c>
      <c r="C1" s="310" t="s">
        <v>79</v>
      </c>
      <c r="D1" s="311" t="s">
        <v>69</v>
      </c>
      <c r="E1" s="311"/>
      <c r="F1" s="311"/>
      <c r="G1" s="311" t="s">
        <v>70</v>
      </c>
      <c r="H1" s="311"/>
      <c r="I1" s="311"/>
      <c r="J1" s="27" t="s">
        <v>71</v>
      </c>
      <c r="K1" s="27" t="s">
        <v>72</v>
      </c>
    </row>
    <row r="2" spans="1:11" x14ac:dyDescent="0.4">
      <c r="A2" s="308"/>
      <c r="B2" s="309"/>
      <c r="C2" s="310"/>
      <c r="D2" s="312">
        <v>1.5</v>
      </c>
      <c r="E2" s="312"/>
      <c r="F2" s="27" t="s">
        <v>73</v>
      </c>
      <c r="G2" s="312">
        <v>-0.4</v>
      </c>
      <c r="H2" s="312"/>
      <c r="I2" s="27" t="s">
        <v>73</v>
      </c>
      <c r="J2" s="18">
        <f>1/(1+G2)-1</f>
        <v>0.66666666666666674</v>
      </c>
      <c r="K2" s="25">
        <f>J3/D3-1</f>
        <v>0.12857142857142856</v>
      </c>
    </row>
    <row r="3" spans="1:11" x14ac:dyDescent="0.4">
      <c r="A3" s="29" t="s">
        <v>76</v>
      </c>
      <c r="B3" s="39">
        <f>B4+B5*2</f>
        <v>1.2</v>
      </c>
      <c r="C3" s="102">
        <v>2000</v>
      </c>
      <c r="D3" s="305">
        <f>SUM(D4:D6)</f>
        <v>5600</v>
      </c>
      <c r="E3" s="305"/>
      <c r="F3" s="19">
        <f>SUM(F4:F5)</f>
        <v>5400</v>
      </c>
      <c r="G3" s="306">
        <f>SUM(G4:G6)</f>
        <v>3440</v>
      </c>
      <c r="H3" s="306"/>
      <c r="I3" s="19">
        <f>SUM(I4:I6)</f>
        <v>3440</v>
      </c>
      <c r="J3" s="19">
        <f>SUM(J4:J6)</f>
        <v>6320</v>
      </c>
      <c r="K3" s="26">
        <f>J3-D3</f>
        <v>720</v>
      </c>
    </row>
    <row r="4" spans="1:11" x14ac:dyDescent="0.4">
      <c r="A4" s="28" t="s">
        <v>74</v>
      </c>
      <c r="B4" s="103">
        <v>0.6</v>
      </c>
      <c r="C4" s="21">
        <f>C3*B4</f>
        <v>1200</v>
      </c>
      <c r="D4" s="19">
        <f>C4*(1+D2)</f>
        <v>3000</v>
      </c>
      <c r="E4" s="20">
        <f>D4/D3</f>
        <v>0.5357142857142857</v>
      </c>
      <c r="F4" s="19">
        <f>SUM(D4:D5)</f>
        <v>5400</v>
      </c>
      <c r="G4" s="19">
        <f>F4*(1+G2)</f>
        <v>3240</v>
      </c>
      <c r="H4" s="20">
        <f>G4/G3</f>
        <v>0.94186046511627908</v>
      </c>
      <c r="I4" s="21">
        <f>G4*B4/(B4+B5)</f>
        <v>2160</v>
      </c>
      <c r="J4" s="19">
        <f>I4*(1+J2)</f>
        <v>3600</v>
      </c>
      <c r="K4" s="26">
        <f>J4-D4</f>
        <v>600</v>
      </c>
    </row>
    <row r="5" spans="1:11" x14ac:dyDescent="0.4">
      <c r="A5" s="28" t="s">
        <v>75</v>
      </c>
      <c r="B5" s="103">
        <v>0.3</v>
      </c>
      <c r="C5" s="21">
        <f>C3*B5</f>
        <v>600</v>
      </c>
      <c r="D5" s="19">
        <f>C5*(1+D2*2)</f>
        <v>2400</v>
      </c>
      <c r="E5" s="20">
        <f>D5/D3</f>
        <v>0.42857142857142855</v>
      </c>
      <c r="F5" s="19">
        <v>0</v>
      </c>
      <c r="G5" s="19">
        <f>F5*(1+J2*2)</f>
        <v>0</v>
      </c>
      <c r="H5" s="20">
        <f>G5/G3</f>
        <v>0</v>
      </c>
      <c r="I5" s="21">
        <f>G4*B5/(B4+B5)</f>
        <v>1080</v>
      </c>
      <c r="J5" s="19">
        <f>I5*(1+J2*2)</f>
        <v>2520</v>
      </c>
      <c r="K5" s="26">
        <f>J5-D5</f>
        <v>120</v>
      </c>
    </row>
    <row r="6" spans="1:11" x14ac:dyDescent="0.4">
      <c r="A6" s="28" t="s">
        <v>97</v>
      </c>
      <c r="B6" s="24">
        <f>1-B4-B5</f>
        <v>0.10000000000000003</v>
      </c>
      <c r="C6" s="21">
        <f>C3*B6</f>
        <v>200.00000000000006</v>
      </c>
      <c r="D6" s="19">
        <f>C6</f>
        <v>200.00000000000006</v>
      </c>
      <c r="E6" s="20">
        <f>D6/D3</f>
        <v>3.5714285714285726E-2</v>
      </c>
      <c r="F6" s="19">
        <f>C6</f>
        <v>200.00000000000006</v>
      </c>
      <c r="G6" s="19">
        <f>C6</f>
        <v>200.00000000000006</v>
      </c>
      <c r="H6" s="20">
        <f>G6/G3</f>
        <v>5.8139534883720943E-2</v>
      </c>
      <c r="I6" s="21">
        <f>C6</f>
        <v>200.00000000000006</v>
      </c>
      <c r="J6" s="19">
        <f>C6</f>
        <v>200.00000000000006</v>
      </c>
      <c r="K6" s="26">
        <f>J6-D6</f>
        <v>0</v>
      </c>
    </row>
    <row r="7" spans="1:11" ht="3" customHeight="1" x14ac:dyDescent="0.4">
      <c r="A7" s="307"/>
      <c r="B7" s="307"/>
      <c r="C7" s="307"/>
      <c r="D7" s="307"/>
      <c r="E7" s="307"/>
      <c r="F7" s="307"/>
      <c r="G7" s="307"/>
      <c r="H7" s="307"/>
      <c r="I7" s="307"/>
      <c r="J7" s="307"/>
      <c r="K7" s="307"/>
    </row>
    <row r="8" spans="1:11" ht="17" customHeight="1" x14ac:dyDescent="0.4">
      <c r="A8" s="308" t="s">
        <v>77</v>
      </c>
      <c r="B8" s="309" t="s">
        <v>78</v>
      </c>
      <c r="C8" s="310" t="s">
        <v>79</v>
      </c>
      <c r="D8" s="311" t="s">
        <v>69</v>
      </c>
      <c r="E8" s="311"/>
      <c r="F8" s="311"/>
      <c r="G8" s="311" t="s">
        <v>70</v>
      </c>
      <c r="H8" s="311"/>
      <c r="I8" s="311"/>
      <c r="J8" s="27" t="s">
        <v>71</v>
      </c>
      <c r="K8" s="27" t="s">
        <v>72</v>
      </c>
    </row>
    <row r="9" spans="1:11" x14ac:dyDescent="0.4">
      <c r="A9" s="308"/>
      <c r="B9" s="309"/>
      <c r="C9" s="310"/>
      <c r="D9" s="312">
        <v>1.5</v>
      </c>
      <c r="E9" s="312"/>
      <c r="F9" s="27" t="s">
        <v>73</v>
      </c>
      <c r="G9" s="312">
        <v>-0.2</v>
      </c>
      <c r="H9" s="312"/>
      <c r="I9" s="27" t="s">
        <v>73</v>
      </c>
      <c r="J9" s="18">
        <f>1/(1+G9)-1</f>
        <v>0.25</v>
      </c>
      <c r="K9" s="25">
        <f>J10/D10-1</f>
        <v>4.6000000000000041E-2</v>
      </c>
    </row>
    <row r="10" spans="1:11" x14ac:dyDescent="0.4">
      <c r="A10" s="29" t="s">
        <v>76</v>
      </c>
      <c r="B10" s="39">
        <f>B11+B12*2</f>
        <v>1</v>
      </c>
      <c r="C10" s="102">
        <v>2000</v>
      </c>
      <c r="D10" s="305">
        <f>SUM(D11:D13)</f>
        <v>5000</v>
      </c>
      <c r="E10" s="305"/>
      <c r="F10" s="19">
        <f>SUM(F11:F12)</f>
        <v>4600</v>
      </c>
      <c r="G10" s="306">
        <f>SUM(G11:G13)</f>
        <v>4080</v>
      </c>
      <c r="H10" s="306"/>
      <c r="I10" s="19">
        <f>SUM(I11:I13)</f>
        <v>4080</v>
      </c>
      <c r="J10" s="19">
        <f>SUM(J11:J13)</f>
        <v>5230</v>
      </c>
      <c r="K10" s="26">
        <f>J10-D10</f>
        <v>230</v>
      </c>
    </row>
    <row r="11" spans="1:11" x14ac:dyDescent="0.4">
      <c r="A11" s="28" t="s">
        <v>74</v>
      </c>
      <c r="B11" s="103">
        <v>0.6</v>
      </c>
      <c r="C11" s="21">
        <f>C10*B11</f>
        <v>1200</v>
      </c>
      <c r="D11" s="19">
        <f>C11*(1+D9)</f>
        <v>3000</v>
      </c>
      <c r="E11" s="20">
        <f>D11/D10</f>
        <v>0.6</v>
      </c>
      <c r="F11" s="19">
        <f>SUM(D11:D12)</f>
        <v>4600</v>
      </c>
      <c r="G11" s="19">
        <f>F11*(1+G9)</f>
        <v>3680</v>
      </c>
      <c r="H11" s="20">
        <f>G11/G10</f>
        <v>0.90196078431372551</v>
      </c>
      <c r="I11" s="21">
        <f>G11*B11/(B11+B12)</f>
        <v>2760</v>
      </c>
      <c r="J11" s="19">
        <f>I11*(1+J9)</f>
        <v>3450</v>
      </c>
      <c r="K11" s="26">
        <f>J11-D11</f>
        <v>450</v>
      </c>
    </row>
    <row r="12" spans="1:11" x14ac:dyDescent="0.4">
      <c r="A12" s="28" t="s">
        <v>75</v>
      </c>
      <c r="B12" s="103">
        <v>0.2</v>
      </c>
      <c r="C12" s="21">
        <f>C10*B12</f>
        <v>400</v>
      </c>
      <c r="D12" s="19">
        <f>C12*(1+D9*2)</f>
        <v>1600</v>
      </c>
      <c r="E12" s="20">
        <f>D12/D10</f>
        <v>0.32</v>
      </c>
      <c r="F12" s="19">
        <v>0</v>
      </c>
      <c r="G12" s="19">
        <f>F12*(1+J9*2)</f>
        <v>0</v>
      </c>
      <c r="H12" s="20">
        <f>G12/G10</f>
        <v>0</v>
      </c>
      <c r="I12" s="21">
        <f>G11*B12/(B11+B12)</f>
        <v>920</v>
      </c>
      <c r="J12" s="19">
        <f>I12*(1+J9*2)</f>
        <v>1380</v>
      </c>
      <c r="K12" s="26">
        <f>J12-D12</f>
        <v>-220</v>
      </c>
    </row>
    <row r="13" spans="1:11" x14ac:dyDescent="0.4">
      <c r="A13" s="28" t="s">
        <v>97</v>
      </c>
      <c r="B13" s="24">
        <f>1-B11-B12</f>
        <v>0.2</v>
      </c>
      <c r="C13" s="21">
        <f>C10*B13</f>
        <v>400</v>
      </c>
      <c r="D13" s="19">
        <f>C13</f>
        <v>400</v>
      </c>
      <c r="E13" s="20">
        <f>D13/D10</f>
        <v>0.08</v>
      </c>
      <c r="F13" s="19">
        <f>C13</f>
        <v>400</v>
      </c>
      <c r="G13" s="19">
        <f>C13</f>
        <v>400</v>
      </c>
      <c r="H13" s="20">
        <f>G13/G10</f>
        <v>9.8039215686274508E-2</v>
      </c>
      <c r="I13" s="21">
        <f>C13</f>
        <v>400</v>
      </c>
      <c r="J13" s="19">
        <f>C13</f>
        <v>400</v>
      </c>
      <c r="K13" s="26">
        <f>J13-D13</f>
        <v>0</v>
      </c>
    </row>
    <row r="14" spans="1:11" ht="3" customHeight="1" x14ac:dyDescent="0.4">
      <c r="A14" s="307"/>
      <c r="B14" s="307"/>
      <c r="C14" s="307"/>
      <c r="D14" s="307"/>
      <c r="E14" s="307"/>
      <c r="F14" s="307"/>
      <c r="G14" s="307"/>
      <c r="H14" s="307"/>
      <c r="I14" s="307"/>
      <c r="J14" s="307"/>
      <c r="K14" s="307"/>
    </row>
    <row r="15" spans="1:11" x14ac:dyDescent="0.4">
      <c r="A15" s="308" t="s">
        <v>77</v>
      </c>
      <c r="B15" s="309" t="s">
        <v>78</v>
      </c>
      <c r="C15" s="310" t="s">
        <v>79</v>
      </c>
      <c r="D15" s="311" t="s">
        <v>69</v>
      </c>
      <c r="E15" s="311"/>
      <c r="F15" s="311"/>
      <c r="G15" s="311" t="s">
        <v>70</v>
      </c>
      <c r="H15" s="311"/>
      <c r="I15" s="311"/>
      <c r="J15" s="27" t="s">
        <v>71</v>
      </c>
      <c r="K15" s="27" t="s">
        <v>72</v>
      </c>
    </row>
    <row r="16" spans="1:11" x14ac:dyDescent="0.4">
      <c r="A16" s="308"/>
      <c r="B16" s="309"/>
      <c r="C16" s="310"/>
      <c r="D16" s="312">
        <v>1.5</v>
      </c>
      <c r="E16" s="312"/>
      <c r="F16" s="27" t="s">
        <v>73</v>
      </c>
      <c r="G16" s="312">
        <v>-0.2</v>
      </c>
      <c r="H16" s="312"/>
      <c r="I16" s="27" t="s">
        <v>73</v>
      </c>
      <c r="J16" s="18">
        <f>1/(1+G16)-1</f>
        <v>0.25</v>
      </c>
      <c r="K16" s="25">
        <f>J17/D17-1</f>
        <v>4.0000000000000036E-2</v>
      </c>
    </row>
    <row r="17" spans="1:11" x14ac:dyDescent="0.4">
      <c r="A17" s="29" t="s">
        <v>76</v>
      </c>
      <c r="B17" s="39">
        <f>B18+B19*2</f>
        <v>1.2000000000000002</v>
      </c>
      <c r="C17" s="102">
        <v>2000</v>
      </c>
      <c r="D17" s="305">
        <f>SUM(D18:D20)</f>
        <v>5600</v>
      </c>
      <c r="E17" s="305"/>
      <c r="F17" s="19">
        <f>SUM(F18:F19)</f>
        <v>5600</v>
      </c>
      <c r="G17" s="306">
        <f>SUM(G18:G20)</f>
        <v>4480</v>
      </c>
      <c r="H17" s="306"/>
      <c r="I17" s="19">
        <f>SUM(I18:I20)</f>
        <v>4480</v>
      </c>
      <c r="J17" s="19">
        <f>SUM(J18:J20)</f>
        <v>5824</v>
      </c>
      <c r="K17" s="26">
        <f>J17-D17</f>
        <v>224</v>
      </c>
    </row>
    <row r="18" spans="1:11" x14ac:dyDescent="0.4">
      <c r="A18" s="28" t="s">
        <v>74</v>
      </c>
      <c r="B18" s="103">
        <v>0.8</v>
      </c>
      <c r="C18" s="21">
        <f>C17*B18</f>
        <v>1600</v>
      </c>
      <c r="D18" s="19">
        <f>C18*(1+D16)</f>
        <v>4000</v>
      </c>
      <c r="E18" s="20">
        <f>D18/D17</f>
        <v>0.7142857142857143</v>
      </c>
      <c r="F18" s="19">
        <f>SUM(D18:D19)</f>
        <v>5600</v>
      </c>
      <c r="G18" s="19">
        <f>F18*(1+G16)</f>
        <v>4480</v>
      </c>
      <c r="H18" s="20">
        <f>G18/G17</f>
        <v>1</v>
      </c>
      <c r="I18" s="21">
        <f>G18*B18/(B18+B19)</f>
        <v>3584</v>
      </c>
      <c r="J18" s="19">
        <f>I18*(1+J16)</f>
        <v>4480</v>
      </c>
      <c r="K18" s="26">
        <f>J18-D18</f>
        <v>480</v>
      </c>
    </row>
    <row r="19" spans="1:11" x14ac:dyDescent="0.4">
      <c r="A19" s="28" t="s">
        <v>75</v>
      </c>
      <c r="B19" s="103">
        <v>0.2</v>
      </c>
      <c r="C19" s="21">
        <f>C17*B19</f>
        <v>400</v>
      </c>
      <c r="D19" s="19">
        <f>C19*(1+D16*2)</f>
        <v>1600</v>
      </c>
      <c r="E19" s="20">
        <f>D19/D17</f>
        <v>0.2857142857142857</v>
      </c>
      <c r="F19" s="19">
        <v>0</v>
      </c>
      <c r="G19" s="19">
        <f>F19*(1+J16*2)</f>
        <v>0</v>
      </c>
      <c r="H19" s="20">
        <f>G19/G17</f>
        <v>0</v>
      </c>
      <c r="I19" s="21">
        <f>G18*B19/(B18+B19)</f>
        <v>896</v>
      </c>
      <c r="J19" s="19">
        <f>I19*(1+J16*2)</f>
        <v>1344</v>
      </c>
      <c r="K19" s="26">
        <f>J19-D19</f>
        <v>-256</v>
      </c>
    </row>
    <row r="20" spans="1:11" x14ac:dyDescent="0.4">
      <c r="A20" s="28" t="s">
        <v>97</v>
      </c>
      <c r="B20" s="24">
        <f>1-B18-B19</f>
        <v>0</v>
      </c>
      <c r="C20" s="21">
        <f>C17*B20</f>
        <v>0</v>
      </c>
      <c r="D20" s="19">
        <f>C20</f>
        <v>0</v>
      </c>
      <c r="E20" s="20">
        <f>D20/D17</f>
        <v>0</v>
      </c>
      <c r="F20" s="19">
        <f>C20</f>
        <v>0</v>
      </c>
      <c r="G20" s="19">
        <f>C20</f>
        <v>0</v>
      </c>
      <c r="H20" s="20">
        <f>G20/G17</f>
        <v>0</v>
      </c>
      <c r="I20" s="21">
        <f>C20</f>
        <v>0</v>
      </c>
      <c r="J20" s="19">
        <f>C20</f>
        <v>0</v>
      </c>
      <c r="K20" s="26">
        <f>J20-D20</f>
        <v>0</v>
      </c>
    </row>
  </sheetData>
  <sheetProtection algorithmName="SHA-512" hashValue="lvk5enjJ7bG+FMwfP1B4fH8MZgEyEoReI2kX3gFfVqBhw0Qi6TSDlNmMt0N2qoMekZhudbRDwXxYCeeIrd3T8A==" saltValue="LkuyaMc8v0lzjGbhQf7HDg==" spinCount="100000" sheet="1" objects="1" scenarios="1" formatCells="0" formatColumns="0" formatRows="0"/>
  <mergeCells count="29">
    <mergeCell ref="D10:E10"/>
    <mergeCell ref="G10:H10"/>
    <mergeCell ref="D8:F8"/>
    <mergeCell ref="G1:I1"/>
    <mergeCell ref="D2:E2"/>
    <mergeCell ref="G2:H2"/>
    <mergeCell ref="A1:A2"/>
    <mergeCell ref="C1:C2"/>
    <mergeCell ref="D1:F1"/>
    <mergeCell ref="G9:H9"/>
    <mergeCell ref="B1:B2"/>
    <mergeCell ref="C8:C9"/>
    <mergeCell ref="D9:E9"/>
    <mergeCell ref="D17:E17"/>
    <mergeCell ref="G17:H17"/>
    <mergeCell ref="A7:K7"/>
    <mergeCell ref="D3:E3"/>
    <mergeCell ref="G3:H3"/>
    <mergeCell ref="A15:A16"/>
    <mergeCell ref="B15:B16"/>
    <mergeCell ref="C15:C16"/>
    <mergeCell ref="D15:F15"/>
    <mergeCell ref="G15:I15"/>
    <mergeCell ref="D16:E16"/>
    <mergeCell ref="G16:H16"/>
    <mergeCell ref="B8:B9"/>
    <mergeCell ref="A14:K14"/>
    <mergeCell ref="G8:I8"/>
    <mergeCell ref="A8:A9"/>
  </mergeCells>
  <phoneticPr fontId="2" type="noConversion"/>
  <pageMargins left="0.7" right="0.7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001歷史資料(年)</vt:lpstr>
      <vt:lpstr>002歷史資料(月)</vt:lpstr>
      <vt:lpstr>1.5.3買房</vt:lpstr>
      <vt:lpstr>1.5.3租房投資</vt:lpstr>
      <vt:lpstr>3.5.1定期定額回測</vt:lpstr>
      <vt:lpstr>3.5.2定期定股回測</vt:lpstr>
      <vt:lpstr>4.退休金試算</vt:lpstr>
      <vt:lpstr>5.資產配置回測</vt:lpstr>
      <vt:lpstr>5.回測結果</vt:lpstr>
      <vt:lpstr>5.5技術再平衡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MyBook</dc:title>
  <dc:creator>培乘 黃</dc:creator>
  <cp:lastModifiedBy>豐 乘</cp:lastModifiedBy>
  <dcterms:created xsi:type="dcterms:W3CDTF">2020-11-28T03:16:15Z</dcterms:created>
  <dcterms:modified xsi:type="dcterms:W3CDTF">2025-07-13T12:00:23Z</dcterms:modified>
</cp:coreProperties>
</file>