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Cloud\My Investments\00-大道至簡投資法\"/>
    </mc:Choice>
  </mc:AlternateContent>
  <xr:revisionPtr revIDLastSave="0" documentId="13_ncr:1_{557C9AB2-8CA0-492E-8010-D2376ED57B98}" xr6:coauthVersionLast="47" xr6:coauthVersionMax="47" xr10:uidLastSave="{00000000-0000-0000-0000-000000000000}"/>
  <bookViews>
    <workbookView xWindow="-110" yWindow="-110" windowWidth="19420" windowHeight="10300" firstSheet="5" activeTab="6" xr2:uid="{00000000-000D-0000-FFFF-FFFF00000000}"/>
  </bookViews>
  <sheets>
    <sheet name="001歷史資料(年)" sheetId="9" r:id="rId1"/>
    <sheet name="002歷史資料(月)" sheetId="1" r:id="rId2"/>
    <sheet name="351定期定額回測" sheetId="4" r:id="rId3"/>
    <sheet name="352定期定股回測" sheetId="2" r:id="rId4"/>
    <sheet name="411退休金試算" sheetId="6" r:id="rId5"/>
    <sheet name="412退休金目標回測" sheetId="7" r:id="rId6"/>
    <sheet name="434資產配置回測" sheetId="8" r:id="rId7"/>
    <sheet name="434案例回測" sheetId="11" r:id="rId8"/>
    <sheet name="434一~七狀況回測" sheetId="12" r:id="rId9"/>
    <sheet name="451技術再平衡" sheetId="10" r:id="rId10"/>
  </sheets>
  <definedNames>
    <definedName name="_xlnm._FilterDatabase" localSheetId="0" hidden="1">'001歷史資料(年)'!$A$2:$K$28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8" l="1"/>
  <c r="B20" i="10"/>
  <c r="C20" i="10" s="1"/>
  <c r="C19" i="10"/>
  <c r="D19" i="10" s="1"/>
  <c r="C18" i="10"/>
  <c r="D18" i="10" s="1"/>
  <c r="B17" i="10"/>
  <c r="J16" i="10"/>
  <c r="G19" i="10" s="1"/>
  <c r="C5" i="10"/>
  <c r="D5" i="10" s="1"/>
  <c r="C4" i="10"/>
  <c r="D4" i="10" s="1"/>
  <c r="B3" i="10"/>
  <c r="J2" i="10"/>
  <c r="G5" i="10" s="1"/>
  <c r="B6" i="10"/>
  <c r="C6" i="10" s="1"/>
  <c r="B13" i="10"/>
  <c r="C13" i="10" s="1"/>
  <c r="B10" i="10"/>
  <c r="C7" i="7"/>
  <c r="I1" i="7" s="1"/>
  <c r="F18" i="10" l="1"/>
  <c r="I20" i="10"/>
  <c r="J20" i="10"/>
  <c r="G20" i="10"/>
  <c r="F20" i="10"/>
  <c r="D20" i="10"/>
  <c r="D17" i="10" s="1"/>
  <c r="E19" i="10" s="1"/>
  <c r="F4" i="10"/>
  <c r="J13" i="10"/>
  <c r="F13" i="10"/>
  <c r="G13" i="10"/>
  <c r="D13" i="10"/>
  <c r="I13" i="10"/>
  <c r="G6" i="10"/>
  <c r="F6" i="10"/>
  <c r="D6" i="10"/>
  <c r="J6" i="10"/>
  <c r="I6" i="10"/>
  <c r="C9" i="7"/>
  <c r="C12" i="10"/>
  <c r="D12" i="10" s="1"/>
  <c r="C11" i="10"/>
  <c r="D11" i="10" s="1"/>
  <c r="J9" i="10"/>
  <c r="G12" i="10" s="1"/>
  <c r="K20" i="10" l="1"/>
  <c r="E18" i="10"/>
  <c r="E20" i="10"/>
  <c r="G18" i="10"/>
  <c r="F17" i="10"/>
  <c r="G4" i="10"/>
  <c r="F3" i="10"/>
  <c r="D3" i="10"/>
  <c r="E6" i="10" s="1"/>
  <c r="K6" i="10"/>
  <c r="D10" i="10"/>
  <c r="E11" i="10" s="1"/>
  <c r="K13" i="10"/>
  <c r="F11" i="10"/>
  <c r="I19" i="10" l="1"/>
  <c r="J19" i="10" s="1"/>
  <c r="K19" i="10" s="1"/>
  <c r="G17" i="10"/>
  <c r="H18" i="10" s="1"/>
  <c r="I18" i="10"/>
  <c r="E12" i="10"/>
  <c r="E13" i="10"/>
  <c r="E4" i="10"/>
  <c r="E5" i="10"/>
  <c r="I5" i="10"/>
  <c r="J5" i="10" s="1"/>
  <c r="K5" i="10" s="1"/>
  <c r="G3" i="10"/>
  <c r="H5" i="10" s="1"/>
  <c r="I4" i="10"/>
  <c r="G11" i="10"/>
  <c r="F10" i="10"/>
  <c r="C25" i="8"/>
  <c r="C7" i="6"/>
  <c r="G10" i="6" s="1"/>
  <c r="C24" i="8"/>
  <c r="C9" i="8"/>
  <c r="C13" i="8" s="1"/>
  <c r="M4" i="8"/>
  <c r="Q4" i="8"/>
  <c r="M5" i="8"/>
  <c r="Q5" i="8"/>
  <c r="M6" i="8"/>
  <c r="Q6" i="8"/>
  <c r="M7" i="8"/>
  <c r="Q7" i="8"/>
  <c r="M8" i="8"/>
  <c r="Q8" i="8"/>
  <c r="M9" i="8"/>
  <c r="Q9" i="8"/>
  <c r="M10" i="8"/>
  <c r="Q10" i="8"/>
  <c r="M11" i="8"/>
  <c r="Q11" i="8"/>
  <c r="M12" i="8"/>
  <c r="Q12" i="8"/>
  <c r="M13" i="8"/>
  <c r="Q13" i="8"/>
  <c r="M14" i="8"/>
  <c r="Q14" i="8"/>
  <c r="M15" i="8"/>
  <c r="Q15" i="8"/>
  <c r="M16" i="8"/>
  <c r="Q16" i="8"/>
  <c r="M17" i="8"/>
  <c r="Q17" i="8"/>
  <c r="M18" i="8"/>
  <c r="Q18" i="8"/>
  <c r="M19" i="8"/>
  <c r="Q19" i="8"/>
  <c r="M20" i="8"/>
  <c r="Q20" i="8"/>
  <c r="M21" i="8"/>
  <c r="Q21" i="8"/>
  <c r="M22" i="8"/>
  <c r="Q22" i="8"/>
  <c r="M23" i="8"/>
  <c r="Q23" i="8"/>
  <c r="M24" i="8"/>
  <c r="Q24" i="8"/>
  <c r="M25" i="8"/>
  <c r="Q25" i="8"/>
  <c r="M26" i="8"/>
  <c r="Q26" i="8"/>
  <c r="M27" i="8"/>
  <c r="Q27" i="8"/>
  <c r="M28" i="8"/>
  <c r="Q28" i="8"/>
  <c r="K23" i="9"/>
  <c r="K20" i="9"/>
  <c r="K17" i="9"/>
  <c r="K16" i="9"/>
  <c r="F28" i="9"/>
  <c r="F27" i="9"/>
  <c r="F25" i="9"/>
  <c r="F22" i="9"/>
  <c r="F21" i="9"/>
  <c r="F20" i="9"/>
  <c r="F16" i="9"/>
  <c r="F13" i="9"/>
  <c r="F10" i="9"/>
  <c r="F9" i="9"/>
  <c r="F8" i="9"/>
  <c r="C10" i="8"/>
  <c r="K1" i="7"/>
  <c r="K3" i="7" s="1"/>
  <c r="F27" i="7"/>
  <c r="I22" i="7"/>
  <c r="G26" i="7"/>
  <c r="F26" i="7" s="1"/>
  <c r="G25" i="7"/>
  <c r="F25" i="7" s="1"/>
  <c r="G24" i="7"/>
  <c r="F24" i="7" s="1"/>
  <c r="G23" i="7"/>
  <c r="F23" i="7" s="1"/>
  <c r="G22" i="7"/>
  <c r="F22" i="7" s="1"/>
  <c r="G21" i="7"/>
  <c r="F21" i="7" s="1"/>
  <c r="G20" i="7"/>
  <c r="F20" i="7" s="1"/>
  <c r="G19" i="7"/>
  <c r="F19" i="7" s="1"/>
  <c r="G18" i="7"/>
  <c r="F18" i="7" s="1"/>
  <c r="G17" i="7"/>
  <c r="F17" i="7" s="1"/>
  <c r="G16" i="7"/>
  <c r="F16" i="7" s="1"/>
  <c r="G15" i="7"/>
  <c r="F15" i="7" s="1"/>
  <c r="G14" i="7"/>
  <c r="F14" i="7" s="1"/>
  <c r="G13" i="7"/>
  <c r="F13" i="7" s="1"/>
  <c r="G12" i="7"/>
  <c r="G11" i="7"/>
  <c r="F11" i="7" s="1"/>
  <c r="G10" i="7"/>
  <c r="F10" i="7" s="1"/>
  <c r="G9" i="7"/>
  <c r="F9" i="7" s="1"/>
  <c r="G8" i="7"/>
  <c r="F8" i="7" s="1"/>
  <c r="G7" i="7"/>
  <c r="F7" i="7" s="1"/>
  <c r="G6" i="7"/>
  <c r="F6" i="7" s="1"/>
  <c r="G5" i="7"/>
  <c r="F5" i="7" s="1"/>
  <c r="G4" i="7"/>
  <c r="F4" i="7" s="1"/>
  <c r="F3" i="7"/>
  <c r="F3" i="6"/>
  <c r="F4" i="6" s="1"/>
  <c r="F5" i="6" s="1"/>
  <c r="F6" i="6" s="1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K1" i="6"/>
  <c r="F12" i="7" l="1"/>
  <c r="C10" i="7"/>
  <c r="C11" i="7" s="1"/>
  <c r="C23" i="8"/>
  <c r="C14" i="8"/>
  <c r="C11" i="8" s="1"/>
  <c r="I17" i="10"/>
  <c r="J18" i="10"/>
  <c r="H19" i="10"/>
  <c r="H20" i="10"/>
  <c r="H4" i="10"/>
  <c r="H6" i="10"/>
  <c r="J4" i="10"/>
  <c r="I3" i="10"/>
  <c r="I11" i="10"/>
  <c r="J11" i="10" s="1"/>
  <c r="G10" i="10"/>
  <c r="I12" i="10"/>
  <c r="G61" i="6"/>
  <c r="G49" i="6"/>
  <c r="G37" i="6"/>
  <c r="G25" i="6"/>
  <c r="G13" i="6"/>
  <c r="G11" i="6"/>
  <c r="G20" i="6"/>
  <c r="G31" i="6"/>
  <c r="G30" i="6"/>
  <c r="G17" i="6"/>
  <c r="G4" i="6"/>
  <c r="G15" i="6"/>
  <c r="G50" i="6"/>
  <c r="G60" i="6"/>
  <c r="G48" i="6"/>
  <c r="G36" i="6"/>
  <c r="G24" i="6"/>
  <c r="G12" i="6"/>
  <c r="G23" i="6"/>
  <c r="G44" i="6"/>
  <c r="G19" i="6"/>
  <c r="G42" i="6"/>
  <c r="G5" i="6"/>
  <c r="G40" i="6"/>
  <c r="G3" i="6"/>
  <c r="G38" i="6"/>
  <c r="G59" i="6"/>
  <c r="G47" i="6"/>
  <c r="G35" i="6"/>
  <c r="G8" i="6"/>
  <c r="G43" i="6"/>
  <c r="G18" i="6"/>
  <c r="G53" i="6"/>
  <c r="G63" i="6"/>
  <c r="G14" i="6"/>
  <c r="G58" i="6"/>
  <c r="G46" i="6"/>
  <c r="G34" i="6"/>
  <c r="G22" i="6"/>
  <c r="G33" i="6"/>
  <c r="G9" i="6"/>
  <c r="G56" i="6"/>
  <c r="G7" i="6"/>
  <c r="G54" i="6"/>
  <c r="G41" i="6"/>
  <c r="G16" i="6"/>
  <c r="G27" i="6"/>
  <c r="C9" i="6"/>
  <c r="K3" i="6" s="1"/>
  <c r="L3" i="6" s="1"/>
  <c r="M3" i="6" s="1"/>
  <c r="N3" i="6" s="1"/>
  <c r="K4" i="6" s="1"/>
  <c r="G57" i="6"/>
  <c r="G45" i="6"/>
  <c r="G21" i="6"/>
  <c r="G32" i="6"/>
  <c r="G55" i="6"/>
  <c r="G6" i="6"/>
  <c r="G29" i="6"/>
  <c r="G51" i="6"/>
  <c r="G26" i="6"/>
  <c r="G39" i="6"/>
  <c r="G52" i="6"/>
  <c r="G28" i="6"/>
  <c r="G62" i="6"/>
  <c r="G1" i="6"/>
  <c r="I23" i="7"/>
  <c r="I24" i="7"/>
  <c r="I12" i="7"/>
  <c r="I11" i="7"/>
  <c r="I13" i="7"/>
  <c r="I25" i="7"/>
  <c r="I14" i="7"/>
  <c r="I26" i="7"/>
  <c r="I3" i="7"/>
  <c r="J3" i="7" s="1"/>
  <c r="I15" i="7"/>
  <c r="I27" i="7"/>
  <c r="I4" i="7"/>
  <c r="I16" i="7"/>
  <c r="I5" i="7"/>
  <c r="I17" i="7"/>
  <c r="I6" i="7"/>
  <c r="I18" i="7"/>
  <c r="I7" i="7"/>
  <c r="I19" i="7"/>
  <c r="I8" i="7"/>
  <c r="I20" i="7"/>
  <c r="I9" i="7"/>
  <c r="I21" i="7"/>
  <c r="I10" i="7"/>
  <c r="F27" i="8"/>
  <c r="F19" i="8"/>
  <c r="F11" i="8"/>
  <c r="F17" i="8"/>
  <c r="F24" i="8"/>
  <c r="F8" i="8"/>
  <c r="F15" i="8"/>
  <c r="F7" i="8"/>
  <c r="F14" i="8"/>
  <c r="F6" i="8"/>
  <c r="F21" i="8"/>
  <c r="F13" i="8"/>
  <c r="F28" i="8"/>
  <c r="F12" i="8"/>
  <c r="F26" i="8"/>
  <c r="F18" i="8"/>
  <c r="F10" i="8"/>
  <c r="F25" i="8"/>
  <c r="F9" i="8"/>
  <c r="F16" i="8"/>
  <c r="F23" i="8"/>
  <c r="F22" i="8"/>
  <c r="F5" i="8"/>
  <c r="F20" i="8"/>
  <c r="F4" i="8"/>
  <c r="L3" i="7"/>
  <c r="K25" i="9"/>
  <c r="F17" i="9"/>
  <c r="K18" i="9"/>
  <c r="F15" i="9"/>
  <c r="K4" i="9"/>
  <c r="K14" i="9"/>
  <c r="K8" i="9"/>
  <c r="K11" i="9"/>
  <c r="K27" i="9"/>
  <c r="K6" i="9"/>
  <c r="K13" i="9"/>
  <c r="K28" i="9"/>
  <c r="F19" i="9"/>
  <c r="K9" i="9"/>
  <c r="K26" i="9"/>
  <c r="F11" i="9"/>
  <c r="F14" i="9"/>
  <c r="F23" i="9"/>
  <c r="F26" i="9"/>
  <c r="K21" i="9"/>
  <c r="K7" i="9"/>
  <c r="K10" i="9"/>
  <c r="F5" i="9"/>
  <c r="F6" i="9"/>
  <c r="F12" i="9"/>
  <c r="F18" i="9"/>
  <c r="F24" i="9"/>
  <c r="F7" i="9"/>
  <c r="K5" i="9"/>
  <c r="K19" i="9"/>
  <c r="K22" i="9"/>
  <c r="K15" i="9"/>
  <c r="F4" i="9"/>
  <c r="K12" i="9"/>
  <c r="K24" i="9"/>
  <c r="S3" i="8" l="1"/>
  <c r="V3" i="8"/>
  <c r="U4" i="8" s="1"/>
  <c r="T3" i="8"/>
  <c r="S4" i="8" s="1"/>
  <c r="O3" i="8"/>
  <c r="U3" i="8"/>
  <c r="J4" i="8"/>
  <c r="K4" i="8" s="1"/>
  <c r="J17" i="10"/>
  <c r="K18" i="10"/>
  <c r="K4" i="10"/>
  <c r="J3" i="10"/>
  <c r="H13" i="10"/>
  <c r="H12" i="10"/>
  <c r="H11" i="10"/>
  <c r="I10" i="10"/>
  <c r="J4" i="7"/>
  <c r="J5" i="7" s="1"/>
  <c r="J6" i="7" s="1"/>
  <c r="J7" i="7" s="1"/>
  <c r="J8" i="7" s="1"/>
  <c r="J9" i="7" s="1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H3" i="6"/>
  <c r="I3" i="6" s="1"/>
  <c r="J3" i="6" s="1"/>
  <c r="H4" i="6" s="1"/>
  <c r="J12" i="10"/>
  <c r="K12" i="10" s="1"/>
  <c r="F3" i="8"/>
  <c r="L4" i="6"/>
  <c r="O4" i="8" l="1"/>
  <c r="O5" i="8" s="1"/>
  <c r="O6" i="8" s="1"/>
  <c r="O7" i="8" s="1"/>
  <c r="O8" i="8" s="1"/>
  <c r="O9" i="8" s="1"/>
  <c r="O10" i="8" s="1"/>
  <c r="O11" i="8" s="1"/>
  <c r="O12" i="8" s="1"/>
  <c r="O13" i="8" s="1"/>
  <c r="O14" i="8" s="1"/>
  <c r="O15" i="8" s="1"/>
  <c r="O16" i="8" s="1"/>
  <c r="O17" i="8" s="1"/>
  <c r="O18" i="8" s="1"/>
  <c r="O19" i="8" s="1"/>
  <c r="O20" i="8" s="1"/>
  <c r="O21" i="8" s="1"/>
  <c r="O22" i="8" s="1"/>
  <c r="O23" i="8" s="1"/>
  <c r="O24" i="8" s="1"/>
  <c r="O25" i="8" s="1"/>
  <c r="O26" i="8" s="1"/>
  <c r="O27" i="8" s="1"/>
  <c r="O28" i="8" s="1"/>
  <c r="T4" i="8"/>
  <c r="J5" i="8"/>
  <c r="K5" i="8" s="1"/>
  <c r="J6" i="8" s="1"/>
  <c r="K6" i="8" s="1"/>
  <c r="G3" i="8"/>
  <c r="K17" i="10"/>
  <c r="K16" i="10"/>
  <c r="K3" i="10"/>
  <c r="K2" i="10"/>
  <c r="J10" i="10"/>
  <c r="K4" i="7"/>
  <c r="L4" i="7" s="1"/>
  <c r="M4" i="6"/>
  <c r="N4" i="6" s="1"/>
  <c r="K5" i="6" s="1"/>
  <c r="I4" i="6"/>
  <c r="J4" i="6" s="1"/>
  <c r="H5" i="6" s="1"/>
  <c r="V4" i="8" l="1"/>
  <c r="J7" i="8"/>
  <c r="K7" i="8" s="1"/>
  <c r="K10" i="10"/>
  <c r="K11" i="10"/>
  <c r="K5" i="7"/>
  <c r="L5" i="7" s="1"/>
  <c r="I5" i="6"/>
  <c r="J5" i="6" s="1"/>
  <c r="H6" i="6" s="1"/>
  <c r="L5" i="6"/>
  <c r="J8" i="8" l="1"/>
  <c r="K8" i="8" s="1"/>
  <c r="K9" i="10"/>
  <c r="K6" i="7"/>
  <c r="L6" i="7" s="1"/>
  <c r="I6" i="6"/>
  <c r="J6" i="6" s="1"/>
  <c r="H7" i="6" s="1"/>
  <c r="M5" i="6"/>
  <c r="N5" i="6" s="1"/>
  <c r="K6" i="6" s="1"/>
  <c r="J9" i="8" l="1"/>
  <c r="K9" i="8" s="1"/>
  <c r="K7" i="7"/>
  <c r="L7" i="7" s="1"/>
  <c r="L6" i="6"/>
  <c r="I7" i="6"/>
  <c r="J7" i="6" s="1"/>
  <c r="H8" i="6" s="1"/>
  <c r="J10" i="8" l="1"/>
  <c r="K10" i="8" s="1"/>
  <c r="K8" i="7"/>
  <c r="L8" i="7" s="1"/>
  <c r="I8" i="6"/>
  <c r="J8" i="6" s="1"/>
  <c r="H9" i="6" s="1"/>
  <c r="M6" i="6"/>
  <c r="N6" i="6" s="1"/>
  <c r="K7" i="6" s="1"/>
  <c r="J11" i="8" l="1"/>
  <c r="K11" i="8" s="1"/>
  <c r="K9" i="7"/>
  <c r="L9" i="7" s="1"/>
  <c r="L7" i="6"/>
  <c r="I9" i="6"/>
  <c r="J9" i="6" s="1"/>
  <c r="H10" i="6" s="1"/>
  <c r="J12" i="8" l="1"/>
  <c r="K12" i="8" s="1"/>
  <c r="K10" i="7"/>
  <c r="L10" i="7" s="1"/>
  <c r="I10" i="6"/>
  <c r="J10" i="6" s="1"/>
  <c r="H11" i="6" s="1"/>
  <c r="M7" i="6"/>
  <c r="N7" i="6" s="1"/>
  <c r="K8" i="6" s="1"/>
  <c r="J13" i="8" l="1"/>
  <c r="K13" i="8" s="1"/>
  <c r="K11" i="7"/>
  <c r="L11" i="7" s="1"/>
  <c r="L8" i="6"/>
  <c r="I11" i="6"/>
  <c r="J11" i="6" s="1"/>
  <c r="H12" i="6" s="1"/>
  <c r="J14" i="8" l="1"/>
  <c r="K14" i="8" s="1"/>
  <c r="K12" i="7"/>
  <c r="L12" i="7" s="1"/>
  <c r="I12" i="6"/>
  <c r="J12" i="6" s="1"/>
  <c r="H13" i="6" s="1"/>
  <c r="M8" i="6"/>
  <c r="N8" i="6" s="1"/>
  <c r="K9" i="6" s="1"/>
  <c r="J15" i="8" l="1"/>
  <c r="K15" i="8" s="1"/>
  <c r="K13" i="7"/>
  <c r="L13" i="7" s="1"/>
  <c r="L9" i="6"/>
  <c r="I13" i="6"/>
  <c r="J13" i="6" s="1"/>
  <c r="H14" i="6" s="1"/>
  <c r="J16" i="8" l="1"/>
  <c r="K16" i="8" s="1"/>
  <c r="K14" i="7"/>
  <c r="L14" i="7" s="1"/>
  <c r="I14" i="6"/>
  <c r="J14" i="6" s="1"/>
  <c r="H15" i="6" s="1"/>
  <c r="M9" i="6"/>
  <c r="N9" i="6" s="1"/>
  <c r="K10" i="6" s="1"/>
  <c r="J17" i="8" l="1"/>
  <c r="K17" i="8" s="1"/>
  <c r="K15" i="7"/>
  <c r="L15" i="7" s="1"/>
  <c r="L10" i="6"/>
  <c r="I15" i="6"/>
  <c r="J15" i="6" s="1"/>
  <c r="H16" i="6" s="1"/>
  <c r="J18" i="8" l="1"/>
  <c r="K18" i="8" s="1"/>
  <c r="K16" i="7"/>
  <c r="L16" i="7" s="1"/>
  <c r="I16" i="6"/>
  <c r="J16" i="6" s="1"/>
  <c r="H17" i="6" s="1"/>
  <c r="M10" i="6"/>
  <c r="N10" i="6" s="1"/>
  <c r="K11" i="6" s="1"/>
  <c r="J19" i="8" l="1"/>
  <c r="K19" i="8" s="1"/>
  <c r="K17" i="7"/>
  <c r="L17" i="7" s="1"/>
  <c r="L11" i="6"/>
  <c r="I17" i="6"/>
  <c r="J17" i="6" s="1"/>
  <c r="H18" i="6" s="1"/>
  <c r="J20" i="8" l="1"/>
  <c r="K20" i="8" s="1"/>
  <c r="K18" i="7"/>
  <c r="L18" i="7" s="1"/>
  <c r="M11" i="6"/>
  <c r="N11" i="6" s="1"/>
  <c r="K12" i="6" s="1"/>
  <c r="I18" i="6"/>
  <c r="J18" i="6" s="1"/>
  <c r="H19" i="6" s="1"/>
  <c r="J21" i="8" l="1"/>
  <c r="K21" i="8" s="1"/>
  <c r="K19" i="7"/>
  <c r="L19" i="7" s="1"/>
  <c r="I19" i="6"/>
  <c r="J19" i="6" s="1"/>
  <c r="H20" i="6" s="1"/>
  <c r="L12" i="6"/>
  <c r="J22" i="8" l="1"/>
  <c r="K22" i="8" s="1"/>
  <c r="K20" i="7"/>
  <c r="L20" i="7" s="1"/>
  <c r="I20" i="6"/>
  <c r="J20" i="6" s="1"/>
  <c r="H21" i="6" s="1"/>
  <c r="M12" i="6"/>
  <c r="N12" i="6" s="1"/>
  <c r="K13" i="6" s="1"/>
  <c r="J23" i="8" l="1"/>
  <c r="K23" i="8" s="1"/>
  <c r="K21" i="7"/>
  <c r="L21" i="7" s="1"/>
  <c r="L13" i="6"/>
  <c r="I21" i="6"/>
  <c r="J21" i="6" s="1"/>
  <c r="H22" i="6" s="1"/>
  <c r="J24" i="8" l="1"/>
  <c r="K24" i="8" s="1"/>
  <c r="K22" i="7"/>
  <c r="L22" i="7" s="1"/>
  <c r="M13" i="6"/>
  <c r="N13" i="6" s="1"/>
  <c r="K14" i="6" s="1"/>
  <c r="I22" i="6"/>
  <c r="J22" i="6" s="1"/>
  <c r="H23" i="6" s="1"/>
  <c r="J25" i="8" l="1"/>
  <c r="K25" i="8" s="1"/>
  <c r="K23" i="7"/>
  <c r="L23" i="7" s="1"/>
  <c r="L14" i="6"/>
  <c r="I23" i="6"/>
  <c r="J23" i="6" s="1"/>
  <c r="H24" i="6" s="1"/>
  <c r="J26" i="8" l="1"/>
  <c r="K26" i="8" s="1"/>
  <c r="K24" i="7"/>
  <c r="L24" i="7" s="1"/>
  <c r="M14" i="6"/>
  <c r="N14" i="6" s="1"/>
  <c r="K15" i="6" s="1"/>
  <c r="I24" i="6"/>
  <c r="J24" i="6" s="1"/>
  <c r="H25" i="6" s="1"/>
  <c r="J27" i="8" l="1"/>
  <c r="K27" i="8" s="1"/>
  <c r="K25" i="7"/>
  <c r="L25" i="7" s="1"/>
  <c r="I25" i="6"/>
  <c r="J25" i="6" s="1"/>
  <c r="H26" i="6" s="1"/>
  <c r="L15" i="6"/>
  <c r="J28" i="8" l="1"/>
  <c r="K28" i="8" s="1"/>
  <c r="K26" i="7"/>
  <c r="L26" i="7" s="1"/>
  <c r="M15" i="6"/>
  <c r="N15" i="6" s="1"/>
  <c r="K16" i="6" s="1"/>
  <c r="I26" i="6"/>
  <c r="J26" i="6" s="1"/>
  <c r="H27" i="6" s="1"/>
  <c r="K27" i="7" l="1"/>
  <c r="L27" i="7" s="1"/>
  <c r="L16" i="6"/>
  <c r="I27" i="6"/>
  <c r="J27" i="6" s="1"/>
  <c r="H28" i="6" s="1"/>
  <c r="I28" i="6" l="1"/>
  <c r="J28" i="6" s="1"/>
  <c r="H29" i="6" s="1"/>
  <c r="M16" i="6"/>
  <c r="N16" i="6" s="1"/>
  <c r="K17" i="6" s="1"/>
  <c r="L17" i="6" l="1"/>
  <c r="I29" i="6"/>
  <c r="J29" i="6" s="1"/>
  <c r="H30" i="6" s="1"/>
  <c r="I30" i="6" l="1"/>
  <c r="J30" i="6" s="1"/>
  <c r="H31" i="6" s="1"/>
  <c r="M17" i="6"/>
  <c r="N17" i="6" s="1"/>
  <c r="K18" i="6" s="1"/>
  <c r="L18" i="6" l="1"/>
  <c r="I31" i="6"/>
  <c r="J31" i="6" s="1"/>
  <c r="H32" i="6" s="1"/>
  <c r="I32" i="6" l="1"/>
  <c r="J32" i="6" s="1"/>
  <c r="H33" i="6" s="1"/>
  <c r="M18" i="6"/>
  <c r="N18" i="6" s="1"/>
  <c r="K19" i="6" s="1"/>
  <c r="L19" i="6" l="1"/>
  <c r="I33" i="6"/>
  <c r="J33" i="6" s="1"/>
  <c r="H34" i="6" s="1"/>
  <c r="I34" i="6" l="1"/>
  <c r="J34" i="6" s="1"/>
  <c r="H35" i="6" s="1"/>
  <c r="M19" i="6"/>
  <c r="N19" i="6" s="1"/>
  <c r="K20" i="6" s="1"/>
  <c r="L20" i="6" l="1"/>
  <c r="I35" i="6"/>
  <c r="J35" i="6" s="1"/>
  <c r="H36" i="6" s="1"/>
  <c r="I36" i="6" l="1"/>
  <c r="J36" i="6" s="1"/>
  <c r="H37" i="6" s="1"/>
  <c r="M20" i="6"/>
  <c r="N20" i="6" s="1"/>
  <c r="K21" i="6" s="1"/>
  <c r="L21" i="6" l="1"/>
  <c r="I37" i="6"/>
  <c r="J37" i="6" s="1"/>
  <c r="H38" i="6" s="1"/>
  <c r="I38" i="6" l="1"/>
  <c r="J38" i="6" s="1"/>
  <c r="H39" i="6" s="1"/>
  <c r="M21" i="6"/>
  <c r="N21" i="6" s="1"/>
  <c r="K22" i="6" s="1"/>
  <c r="L22" i="6" l="1"/>
  <c r="I39" i="6"/>
  <c r="J39" i="6" s="1"/>
  <c r="H40" i="6" s="1"/>
  <c r="I40" i="6" l="1"/>
  <c r="J40" i="6" s="1"/>
  <c r="H41" i="6" s="1"/>
  <c r="M22" i="6"/>
  <c r="N22" i="6" s="1"/>
  <c r="K23" i="6" s="1"/>
  <c r="L23" i="6" l="1"/>
  <c r="I41" i="6"/>
  <c r="J41" i="6" s="1"/>
  <c r="H42" i="6" s="1"/>
  <c r="I42" i="6" l="1"/>
  <c r="J42" i="6" s="1"/>
  <c r="H43" i="6" s="1"/>
  <c r="M23" i="6"/>
  <c r="N23" i="6" s="1"/>
  <c r="K24" i="6" s="1"/>
  <c r="L24" i="6" l="1"/>
  <c r="I43" i="6"/>
  <c r="J43" i="6" s="1"/>
  <c r="H44" i="6" s="1"/>
  <c r="I44" i="6" l="1"/>
  <c r="J44" i="6" s="1"/>
  <c r="H45" i="6" s="1"/>
  <c r="M24" i="6"/>
  <c r="N24" i="6" s="1"/>
  <c r="K25" i="6" s="1"/>
  <c r="L25" i="6" l="1"/>
  <c r="I45" i="6"/>
  <c r="J45" i="6" s="1"/>
  <c r="H46" i="6" s="1"/>
  <c r="I46" i="6" l="1"/>
  <c r="J46" i="6" s="1"/>
  <c r="H47" i="6" s="1"/>
  <c r="M25" i="6"/>
  <c r="N25" i="6" s="1"/>
  <c r="K26" i="6" s="1"/>
  <c r="L26" i="6" l="1"/>
  <c r="I47" i="6"/>
  <c r="J47" i="6" s="1"/>
  <c r="H48" i="6" s="1"/>
  <c r="I48" i="6" l="1"/>
  <c r="J48" i="6" s="1"/>
  <c r="H49" i="6" s="1"/>
  <c r="M26" i="6"/>
  <c r="N26" i="6" s="1"/>
  <c r="K27" i="6" s="1"/>
  <c r="L27" i="6" l="1"/>
  <c r="I49" i="6"/>
  <c r="J49" i="6" s="1"/>
  <c r="H50" i="6" s="1"/>
  <c r="I50" i="6" l="1"/>
  <c r="J50" i="6" s="1"/>
  <c r="H51" i="6" s="1"/>
  <c r="M27" i="6"/>
  <c r="N27" i="6" s="1"/>
  <c r="K28" i="6" s="1"/>
  <c r="L28" i="6" l="1"/>
  <c r="I51" i="6"/>
  <c r="J51" i="6" s="1"/>
  <c r="H52" i="6" s="1"/>
  <c r="I52" i="6" l="1"/>
  <c r="J52" i="6" s="1"/>
  <c r="H53" i="6" s="1"/>
  <c r="M28" i="6"/>
  <c r="N28" i="6" s="1"/>
  <c r="K29" i="6" s="1"/>
  <c r="L29" i="6" l="1"/>
  <c r="I53" i="6"/>
  <c r="J53" i="6" s="1"/>
  <c r="H54" i="6" s="1"/>
  <c r="I54" i="6" l="1"/>
  <c r="J54" i="6" s="1"/>
  <c r="H55" i="6" s="1"/>
  <c r="M29" i="6"/>
  <c r="N29" i="6" s="1"/>
  <c r="K30" i="6" s="1"/>
  <c r="L30" i="6" l="1"/>
  <c r="I55" i="6"/>
  <c r="J55" i="6" s="1"/>
  <c r="H56" i="6" s="1"/>
  <c r="I56" i="6" l="1"/>
  <c r="J56" i="6" s="1"/>
  <c r="H57" i="6" s="1"/>
  <c r="M30" i="6"/>
  <c r="N30" i="6" s="1"/>
  <c r="K31" i="6" s="1"/>
  <c r="I57" i="6" l="1"/>
  <c r="J57" i="6" s="1"/>
  <c r="H58" i="6" s="1"/>
  <c r="L31" i="6"/>
  <c r="M31" i="6" l="1"/>
  <c r="N31" i="6" s="1"/>
  <c r="K32" i="6" s="1"/>
  <c r="I58" i="6"/>
  <c r="J58" i="6" s="1"/>
  <c r="H59" i="6" s="1"/>
  <c r="I59" i="6" l="1"/>
  <c r="J59" i="6" s="1"/>
  <c r="H60" i="6" s="1"/>
  <c r="L32" i="6"/>
  <c r="M32" i="6" l="1"/>
  <c r="N32" i="6" s="1"/>
  <c r="K33" i="6" s="1"/>
  <c r="I60" i="6"/>
  <c r="J60" i="6" s="1"/>
  <c r="H61" i="6" s="1"/>
  <c r="L33" i="6" l="1"/>
  <c r="I61" i="6"/>
  <c r="J61" i="6" s="1"/>
  <c r="H62" i="6" s="1"/>
  <c r="I62" i="6" l="1"/>
  <c r="J62" i="6" s="1"/>
  <c r="H63" i="6" s="1"/>
  <c r="M33" i="6"/>
  <c r="N33" i="6" s="1"/>
  <c r="K34" i="6" s="1"/>
  <c r="L34" i="6" l="1"/>
  <c r="I63" i="6"/>
  <c r="J63" i="6" s="1"/>
  <c r="M34" i="6" l="1"/>
  <c r="N34" i="6" s="1"/>
  <c r="K35" i="6" s="1"/>
  <c r="L35" i="6" l="1"/>
  <c r="M35" i="6" l="1"/>
  <c r="N35" i="6" s="1"/>
  <c r="K36" i="6" s="1"/>
  <c r="L36" i="6" l="1"/>
  <c r="M36" i="6" l="1"/>
  <c r="N36" i="6" s="1"/>
  <c r="K37" i="6" s="1"/>
  <c r="L37" i="6" l="1"/>
  <c r="M37" i="6" l="1"/>
  <c r="N37" i="6" s="1"/>
  <c r="K38" i="6" s="1"/>
  <c r="L38" i="6" l="1"/>
  <c r="M38" i="6" l="1"/>
  <c r="N38" i="6" s="1"/>
  <c r="K39" i="6" s="1"/>
  <c r="L39" i="6" l="1"/>
  <c r="M39" i="6" l="1"/>
  <c r="N39" i="6" s="1"/>
  <c r="K40" i="6" s="1"/>
  <c r="L40" i="6" l="1"/>
  <c r="M40" i="6" l="1"/>
  <c r="N40" i="6" s="1"/>
  <c r="K41" i="6" s="1"/>
  <c r="L41" i="6" l="1"/>
  <c r="M41" i="6" l="1"/>
  <c r="N41" i="6" s="1"/>
  <c r="K42" i="6" s="1"/>
  <c r="L42" i="6" l="1"/>
  <c r="M42" i="6" l="1"/>
  <c r="N42" i="6" s="1"/>
  <c r="K43" i="6" s="1"/>
  <c r="L43" i="6" l="1"/>
  <c r="M43" i="6" l="1"/>
  <c r="N43" i="6" s="1"/>
  <c r="K44" i="6" s="1"/>
  <c r="L44" i="6" l="1"/>
  <c r="M44" i="6" l="1"/>
  <c r="N44" i="6" s="1"/>
  <c r="K45" i="6" s="1"/>
  <c r="L45" i="6" l="1"/>
  <c r="M45" i="6" l="1"/>
  <c r="N45" i="6" s="1"/>
  <c r="K46" i="6" s="1"/>
  <c r="L46" i="6" l="1"/>
  <c r="M46" i="6" l="1"/>
  <c r="N46" i="6" s="1"/>
  <c r="K47" i="6" s="1"/>
  <c r="L47" i="6" l="1"/>
  <c r="M47" i="6" l="1"/>
  <c r="N47" i="6" s="1"/>
  <c r="K48" i="6" s="1"/>
  <c r="L48" i="6" l="1"/>
  <c r="M48" i="6" l="1"/>
  <c r="N48" i="6" s="1"/>
  <c r="K49" i="6" s="1"/>
  <c r="L49" i="6" l="1"/>
  <c r="M49" i="6" l="1"/>
  <c r="N49" i="6" s="1"/>
  <c r="K50" i="6" s="1"/>
  <c r="L50" i="6" l="1"/>
  <c r="M50" i="6" l="1"/>
  <c r="N50" i="6" s="1"/>
  <c r="K51" i="6" s="1"/>
  <c r="L51" i="6" l="1"/>
  <c r="M51" i="6" l="1"/>
  <c r="N51" i="6" s="1"/>
  <c r="K52" i="6" s="1"/>
  <c r="L52" i="6" l="1"/>
  <c r="M52" i="6" l="1"/>
  <c r="N52" i="6" s="1"/>
  <c r="K53" i="6" s="1"/>
  <c r="L53" i="6" l="1"/>
  <c r="M53" i="6" l="1"/>
  <c r="N53" i="6" s="1"/>
  <c r="K54" i="6" s="1"/>
  <c r="L54" i="6" l="1"/>
  <c r="M54" i="6" l="1"/>
  <c r="N54" i="6" s="1"/>
  <c r="K55" i="6" s="1"/>
  <c r="L55" i="6" l="1"/>
  <c r="M55" i="6" l="1"/>
  <c r="N55" i="6" s="1"/>
  <c r="K56" i="6" s="1"/>
  <c r="L56" i="6" l="1"/>
  <c r="M56" i="6" l="1"/>
  <c r="N56" i="6" s="1"/>
  <c r="K57" i="6" s="1"/>
  <c r="L57" i="6" l="1"/>
  <c r="M57" i="6" l="1"/>
  <c r="N57" i="6" s="1"/>
  <c r="K58" i="6" s="1"/>
  <c r="L58" i="6" l="1"/>
  <c r="M58" i="6" l="1"/>
  <c r="N58" i="6" s="1"/>
  <c r="K59" i="6" s="1"/>
  <c r="L59" i="6" l="1"/>
  <c r="M59" i="6" l="1"/>
  <c r="N59" i="6" s="1"/>
  <c r="K60" i="6" s="1"/>
  <c r="L60" i="6" l="1"/>
  <c r="M60" i="6" l="1"/>
  <c r="N60" i="6" s="1"/>
  <c r="K61" i="6" s="1"/>
  <c r="L61" i="6" l="1"/>
  <c r="M61" i="6" l="1"/>
  <c r="N61" i="6" s="1"/>
  <c r="K62" i="6" s="1"/>
  <c r="L62" i="6" l="1"/>
  <c r="M62" i="6" l="1"/>
  <c r="N62" i="6" s="1"/>
  <c r="K63" i="6" s="1"/>
  <c r="L63" i="6" l="1"/>
  <c r="M63" i="6" l="1"/>
  <c r="N63" i="6" s="1"/>
  <c r="L299" i="2" l="1"/>
  <c r="K299" i="2"/>
  <c r="J299" i="2"/>
  <c r="L287" i="2"/>
  <c r="K287" i="2"/>
  <c r="J287" i="2"/>
  <c r="L275" i="2"/>
  <c r="K275" i="2"/>
  <c r="J275" i="2"/>
  <c r="L263" i="2"/>
  <c r="K263" i="2"/>
  <c r="J263" i="2"/>
  <c r="L251" i="2"/>
  <c r="K251" i="2"/>
  <c r="J251" i="2"/>
  <c r="L239" i="2"/>
  <c r="K239" i="2"/>
  <c r="J239" i="2"/>
  <c r="L227" i="2"/>
  <c r="K227" i="2"/>
  <c r="J227" i="2"/>
  <c r="L215" i="2"/>
  <c r="K215" i="2"/>
  <c r="J215" i="2"/>
  <c r="L203" i="2"/>
  <c r="K203" i="2"/>
  <c r="J203" i="2"/>
  <c r="L191" i="2"/>
  <c r="K191" i="2"/>
  <c r="J191" i="2"/>
  <c r="L179" i="2"/>
  <c r="K179" i="2"/>
  <c r="J179" i="2"/>
  <c r="L167" i="2"/>
  <c r="K167" i="2"/>
  <c r="J167" i="2"/>
  <c r="L155" i="2"/>
  <c r="K155" i="2"/>
  <c r="J155" i="2"/>
  <c r="L143" i="2"/>
  <c r="K143" i="2"/>
  <c r="J143" i="2"/>
  <c r="L131" i="2"/>
  <c r="K131" i="2"/>
  <c r="J131" i="2"/>
  <c r="L119" i="2"/>
  <c r="K119" i="2"/>
  <c r="J119" i="2"/>
  <c r="L107" i="2"/>
  <c r="K107" i="2"/>
  <c r="J107" i="2"/>
  <c r="L95" i="2"/>
  <c r="K95" i="2"/>
  <c r="J95" i="2"/>
  <c r="L83" i="2"/>
  <c r="K83" i="2"/>
  <c r="J83" i="2"/>
  <c r="L71" i="2"/>
  <c r="K71" i="2"/>
  <c r="J71" i="2"/>
  <c r="L59" i="2"/>
  <c r="K59" i="2"/>
  <c r="J59" i="2"/>
  <c r="L47" i="2"/>
  <c r="K47" i="2"/>
  <c r="J47" i="2"/>
  <c r="L35" i="2"/>
  <c r="K35" i="2"/>
  <c r="J35" i="2"/>
  <c r="L23" i="2"/>
  <c r="K23" i="2"/>
  <c r="J23" i="2"/>
  <c r="K11" i="2"/>
  <c r="J11" i="2"/>
  <c r="I311" i="2"/>
  <c r="H311" i="2"/>
  <c r="G311" i="2"/>
  <c r="F311" i="2"/>
  <c r="I310" i="2"/>
  <c r="H310" i="2"/>
  <c r="G310" i="2"/>
  <c r="F310" i="2"/>
  <c r="I309" i="2"/>
  <c r="H309" i="2"/>
  <c r="G309" i="2"/>
  <c r="F309" i="2"/>
  <c r="I308" i="2"/>
  <c r="H308" i="2"/>
  <c r="G308" i="2"/>
  <c r="F308" i="2"/>
  <c r="I307" i="2"/>
  <c r="H307" i="2"/>
  <c r="G307" i="2"/>
  <c r="F307" i="2"/>
  <c r="I305" i="2"/>
  <c r="H305" i="2"/>
  <c r="G305" i="2"/>
  <c r="F305" i="2"/>
  <c r="I304" i="2"/>
  <c r="H304" i="2"/>
  <c r="G304" i="2"/>
  <c r="F304" i="2"/>
  <c r="I303" i="2"/>
  <c r="H303" i="2"/>
  <c r="G303" i="2"/>
  <c r="F303" i="2"/>
  <c r="I302" i="2"/>
  <c r="H302" i="2"/>
  <c r="G302" i="2"/>
  <c r="F302" i="2"/>
  <c r="I301" i="2"/>
  <c r="H301" i="2"/>
  <c r="G301" i="2"/>
  <c r="F301" i="2"/>
  <c r="I300" i="2"/>
  <c r="H300" i="2"/>
  <c r="G300" i="2"/>
  <c r="F300" i="2"/>
  <c r="I299" i="2"/>
  <c r="H299" i="2"/>
  <c r="G299" i="2"/>
  <c r="F299" i="2"/>
  <c r="I298" i="2"/>
  <c r="H298" i="2"/>
  <c r="G298" i="2"/>
  <c r="F298" i="2"/>
  <c r="I297" i="2"/>
  <c r="H297" i="2"/>
  <c r="G297" i="2"/>
  <c r="F297" i="2"/>
  <c r="I296" i="2"/>
  <c r="H296" i="2"/>
  <c r="G296" i="2"/>
  <c r="F296" i="2"/>
  <c r="I295" i="2"/>
  <c r="H295" i="2"/>
  <c r="G295" i="2"/>
  <c r="F295" i="2"/>
  <c r="I294" i="2"/>
  <c r="H294" i="2"/>
  <c r="G294" i="2"/>
  <c r="F294" i="2"/>
  <c r="I293" i="2"/>
  <c r="H293" i="2"/>
  <c r="G293" i="2"/>
  <c r="F293" i="2"/>
  <c r="I292" i="2"/>
  <c r="H292" i="2"/>
  <c r="G292" i="2"/>
  <c r="F292" i="2"/>
  <c r="I291" i="2"/>
  <c r="H291" i="2"/>
  <c r="G291" i="2"/>
  <c r="F291" i="2"/>
  <c r="I290" i="2"/>
  <c r="H290" i="2"/>
  <c r="G290" i="2"/>
  <c r="F290" i="2"/>
  <c r="I289" i="2"/>
  <c r="H289" i="2"/>
  <c r="G289" i="2"/>
  <c r="F289" i="2"/>
  <c r="I288" i="2"/>
  <c r="H288" i="2"/>
  <c r="G288" i="2"/>
  <c r="F288" i="2"/>
  <c r="I287" i="2"/>
  <c r="H287" i="2"/>
  <c r="G287" i="2"/>
  <c r="F287" i="2"/>
  <c r="I286" i="2"/>
  <c r="H286" i="2"/>
  <c r="G286" i="2"/>
  <c r="F286" i="2"/>
  <c r="I285" i="2"/>
  <c r="H285" i="2"/>
  <c r="G285" i="2"/>
  <c r="F285" i="2"/>
  <c r="I284" i="2"/>
  <c r="H284" i="2"/>
  <c r="G284" i="2"/>
  <c r="F284" i="2"/>
  <c r="I283" i="2"/>
  <c r="H283" i="2"/>
  <c r="G283" i="2"/>
  <c r="F283" i="2"/>
  <c r="I282" i="2"/>
  <c r="H282" i="2"/>
  <c r="G282" i="2"/>
  <c r="F282" i="2"/>
  <c r="I281" i="2"/>
  <c r="H281" i="2"/>
  <c r="G281" i="2"/>
  <c r="F281" i="2"/>
  <c r="I280" i="2"/>
  <c r="H280" i="2"/>
  <c r="G280" i="2"/>
  <c r="F280" i="2"/>
  <c r="I279" i="2"/>
  <c r="H279" i="2"/>
  <c r="G279" i="2"/>
  <c r="F279" i="2"/>
  <c r="I278" i="2"/>
  <c r="H278" i="2"/>
  <c r="G278" i="2"/>
  <c r="F278" i="2"/>
  <c r="I277" i="2"/>
  <c r="H277" i="2"/>
  <c r="G277" i="2"/>
  <c r="F277" i="2"/>
  <c r="I276" i="2"/>
  <c r="H276" i="2"/>
  <c r="G276" i="2"/>
  <c r="F276" i="2"/>
  <c r="I275" i="2"/>
  <c r="H275" i="2"/>
  <c r="G275" i="2"/>
  <c r="F275" i="2"/>
  <c r="I274" i="2"/>
  <c r="H274" i="2"/>
  <c r="G274" i="2"/>
  <c r="F274" i="2"/>
  <c r="I273" i="2"/>
  <c r="H273" i="2"/>
  <c r="G273" i="2"/>
  <c r="F273" i="2"/>
  <c r="I272" i="2"/>
  <c r="H272" i="2"/>
  <c r="G272" i="2"/>
  <c r="F272" i="2"/>
  <c r="I271" i="2"/>
  <c r="H271" i="2"/>
  <c r="G271" i="2"/>
  <c r="F271" i="2"/>
  <c r="I270" i="2"/>
  <c r="H270" i="2"/>
  <c r="G270" i="2"/>
  <c r="F270" i="2"/>
  <c r="I269" i="2"/>
  <c r="H269" i="2"/>
  <c r="G269" i="2"/>
  <c r="F269" i="2"/>
  <c r="I268" i="2"/>
  <c r="H268" i="2"/>
  <c r="G268" i="2"/>
  <c r="F268" i="2"/>
  <c r="I267" i="2"/>
  <c r="H267" i="2"/>
  <c r="G267" i="2"/>
  <c r="F267" i="2"/>
  <c r="I266" i="2"/>
  <c r="H266" i="2"/>
  <c r="G266" i="2"/>
  <c r="F266" i="2"/>
  <c r="I265" i="2"/>
  <c r="H265" i="2"/>
  <c r="G265" i="2"/>
  <c r="F265" i="2"/>
  <c r="I264" i="2"/>
  <c r="H264" i="2"/>
  <c r="G264" i="2"/>
  <c r="F264" i="2"/>
  <c r="I263" i="2"/>
  <c r="H263" i="2"/>
  <c r="G263" i="2"/>
  <c r="F263" i="2"/>
  <c r="I262" i="2"/>
  <c r="H262" i="2"/>
  <c r="G262" i="2"/>
  <c r="F262" i="2"/>
  <c r="I261" i="2"/>
  <c r="H261" i="2"/>
  <c r="G261" i="2"/>
  <c r="F261" i="2"/>
  <c r="I260" i="2"/>
  <c r="H260" i="2"/>
  <c r="G260" i="2"/>
  <c r="F260" i="2"/>
  <c r="I259" i="2"/>
  <c r="H259" i="2"/>
  <c r="G259" i="2"/>
  <c r="F259" i="2"/>
  <c r="I258" i="2"/>
  <c r="H258" i="2"/>
  <c r="G258" i="2"/>
  <c r="F258" i="2"/>
  <c r="I257" i="2"/>
  <c r="H257" i="2"/>
  <c r="G257" i="2"/>
  <c r="F257" i="2"/>
  <c r="I256" i="2"/>
  <c r="H256" i="2"/>
  <c r="G256" i="2"/>
  <c r="F256" i="2"/>
  <c r="I255" i="2"/>
  <c r="H255" i="2"/>
  <c r="G255" i="2"/>
  <c r="F255" i="2"/>
  <c r="I254" i="2"/>
  <c r="H254" i="2"/>
  <c r="G254" i="2"/>
  <c r="F254" i="2"/>
  <c r="I253" i="2"/>
  <c r="H253" i="2"/>
  <c r="G253" i="2"/>
  <c r="F253" i="2"/>
  <c r="I252" i="2"/>
  <c r="H252" i="2"/>
  <c r="G252" i="2"/>
  <c r="F252" i="2"/>
  <c r="I251" i="2"/>
  <c r="H251" i="2"/>
  <c r="G251" i="2"/>
  <c r="F251" i="2"/>
  <c r="I250" i="2"/>
  <c r="H250" i="2"/>
  <c r="G250" i="2"/>
  <c r="F250" i="2"/>
  <c r="I249" i="2"/>
  <c r="H249" i="2"/>
  <c r="G249" i="2"/>
  <c r="F249" i="2"/>
  <c r="I248" i="2"/>
  <c r="H248" i="2"/>
  <c r="G248" i="2"/>
  <c r="F248" i="2"/>
  <c r="I247" i="2"/>
  <c r="H247" i="2"/>
  <c r="G247" i="2"/>
  <c r="F247" i="2"/>
  <c r="I246" i="2"/>
  <c r="H246" i="2"/>
  <c r="G246" i="2"/>
  <c r="F246" i="2"/>
  <c r="I245" i="2"/>
  <c r="H245" i="2"/>
  <c r="G245" i="2"/>
  <c r="F245" i="2"/>
  <c r="I244" i="2"/>
  <c r="H244" i="2"/>
  <c r="G244" i="2"/>
  <c r="F244" i="2"/>
  <c r="I243" i="2"/>
  <c r="H243" i="2"/>
  <c r="G243" i="2"/>
  <c r="F243" i="2"/>
  <c r="I242" i="2"/>
  <c r="H242" i="2"/>
  <c r="G242" i="2"/>
  <c r="F242" i="2"/>
  <c r="I241" i="2"/>
  <c r="H241" i="2"/>
  <c r="G241" i="2"/>
  <c r="F241" i="2"/>
  <c r="I240" i="2"/>
  <c r="H240" i="2"/>
  <c r="G240" i="2"/>
  <c r="F240" i="2"/>
  <c r="I239" i="2"/>
  <c r="H239" i="2"/>
  <c r="G239" i="2"/>
  <c r="F239" i="2"/>
  <c r="I238" i="2"/>
  <c r="H238" i="2"/>
  <c r="G238" i="2"/>
  <c r="F238" i="2"/>
  <c r="I237" i="2"/>
  <c r="H237" i="2"/>
  <c r="G237" i="2"/>
  <c r="F237" i="2"/>
  <c r="I236" i="2"/>
  <c r="H236" i="2"/>
  <c r="G236" i="2"/>
  <c r="F236" i="2"/>
  <c r="I235" i="2"/>
  <c r="H235" i="2"/>
  <c r="G235" i="2"/>
  <c r="F235" i="2"/>
  <c r="I234" i="2"/>
  <c r="H234" i="2"/>
  <c r="G234" i="2"/>
  <c r="F234" i="2"/>
  <c r="I233" i="2"/>
  <c r="H233" i="2"/>
  <c r="G233" i="2"/>
  <c r="F233" i="2"/>
  <c r="I232" i="2"/>
  <c r="H232" i="2"/>
  <c r="G232" i="2"/>
  <c r="F232" i="2"/>
  <c r="I231" i="2"/>
  <c r="H231" i="2"/>
  <c r="G231" i="2"/>
  <c r="F231" i="2"/>
  <c r="I230" i="2"/>
  <c r="H230" i="2"/>
  <c r="G230" i="2"/>
  <c r="F230" i="2"/>
  <c r="I229" i="2"/>
  <c r="H229" i="2"/>
  <c r="G229" i="2"/>
  <c r="F229" i="2"/>
  <c r="I228" i="2"/>
  <c r="H228" i="2"/>
  <c r="G228" i="2"/>
  <c r="F228" i="2"/>
  <c r="I227" i="2"/>
  <c r="H227" i="2"/>
  <c r="G227" i="2"/>
  <c r="F227" i="2"/>
  <c r="I226" i="2"/>
  <c r="H226" i="2"/>
  <c r="G226" i="2"/>
  <c r="F226" i="2"/>
  <c r="I225" i="2"/>
  <c r="H225" i="2"/>
  <c r="G225" i="2"/>
  <c r="F225" i="2"/>
  <c r="I224" i="2"/>
  <c r="H224" i="2"/>
  <c r="G224" i="2"/>
  <c r="F224" i="2"/>
  <c r="I223" i="2"/>
  <c r="H223" i="2"/>
  <c r="G223" i="2"/>
  <c r="F223" i="2"/>
  <c r="I222" i="2"/>
  <c r="H222" i="2"/>
  <c r="G222" i="2"/>
  <c r="F222" i="2"/>
  <c r="I221" i="2"/>
  <c r="H221" i="2"/>
  <c r="G221" i="2"/>
  <c r="F221" i="2"/>
  <c r="I220" i="2"/>
  <c r="H220" i="2"/>
  <c r="G220" i="2"/>
  <c r="F220" i="2"/>
  <c r="I219" i="2"/>
  <c r="H219" i="2"/>
  <c r="G219" i="2"/>
  <c r="F219" i="2"/>
  <c r="I218" i="2"/>
  <c r="H218" i="2"/>
  <c r="G218" i="2"/>
  <c r="F218" i="2"/>
  <c r="I217" i="2"/>
  <c r="H217" i="2"/>
  <c r="G217" i="2"/>
  <c r="F217" i="2"/>
  <c r="I216" i="2"/>
  <c r="H216" i="2"/>
  <c r="G216" i="2"/>
  <c r="F216" i="2"/>
  <c r="I215" i="2"/>
  <c r="H215" i="2"/>
  <c r="G215" i="2"/>
  <c r="F215" i="2"/>
  <c r="I214" i="2"/>
  <c r="H214" i="2"/>
  <c r="G214" i="2"/>
  <c r="F214" i="2"/>
  <c r="I213" i="2"/>
  <c r="H213" i="2"/>
  <c r="G213" i="2"/>
  <c r="F213" i="2"/>
  <c r="I212" i="2"/>
  <c r="H212" i="2"/>
  <c r="G212" i="2"/>
  <c r="F212" i="2"/>
  <c r="I211" i="2"/>
  <c r="H211" i="2"/>
  <c r="G211" i="2"/>
  <c r="F211" i="2"/>
  <c r="I210" i="2"/>
  <c r="H210" i="2"/>
  <c r="G210" i="2"/>
  <c r="F210" i="2"/>
  <c r="I209" i="2"/>
  <c r="H209" i="2"/>
  <c r="G209" i="2"/>
  <c r="F209" i="2"/>
  <c r="I208" i="2"/>
  <c r="H208" i="2"/>
  <c r="G208" i="2"/>
  <c r="F208" i="2"/>
  <c r="I207" i="2"/>
  <c r="H207" i="2"/>
  <c r="G207" i="2"/>
  <c r="F207" i="2"/>
  <c r="I206" i="2"/>
  <c r="H206" i="2"/>
  <c r="G206" i="2"/>
  <c r="F206" i="2"/>
  <c r="I205" i="2"/>
  <c r="H205" i="2"/>
  <c r="G205" i="2"/>
  <c r="F205" i="2"/>
  <c r="I204" i="2"/>
  <c r="H204" i="2"/>
  <c r="G204" i="2"/>
  <c r="F204" i="2"/>
  <c r="I203" i="2"/>
  <c r="H203" i="2"/>
  <c r="G203" i="2"/>
  <c r="F203" i="2"/>
  <c r="I202" i="2"/>
  <c r="H202" i="2"/>
  <c r="G202" i="2"/>
  <c r="F202" i="2"/>
  <c r="I201" i="2"/>
  <c r="H201" i="2"/>
  <c r="G201" i="2"/>
  <c r="F201" i="2"/>
  <c r="I200" i="2"/>
  <c r="H200" i="2"/>
  <c r="G200" i="2"/>
  <c r="F200" i="2"/>
  <c r="I199" i="2"/>
  <c r="H199" i="2"/>
  <c r="G199" i="2"/>
  <c r="F199" i="2"/>
  <c r="I198" i="2"/>
  <c r="H198" i="2"/>
  <c r="G198" i="2"/>
  <c r="F198" i="2"/>
  <c r="I197" i="2"/>
  <c r="H197" i="2"/>
  <c r="G197" i="2"/>
  <c r="F197" i="2"/>
  <c r="I196" i="2"/>
  <c r="H196" i="2"/>
  <c r="G196" i="2"/>
  <c r="F196" i="2"/>
  <c r="I195" i="2"/>
  <c r="H195" i="2"/>
  <c r="G195" i="2"/>
  <c r="F195" i="2"/>
  <c r="I194" i="2"/>
  <c r="H194" i="2"/>
  <c r="G194" i="2"/>
  <c r="F194" i="2"/>
  <c r="I193" i="2"/>
  <c r="H193" i="2"/>
  <c r="G193" i="2"/>
  <c r="F193" i="2"/>
  <c r="I192" i="2"/>
  <c r="H192" i="2"/>
  <c r="G192" i="2"/>
  <c r="F192" i="2"/>
  <c r="I191" i="2"/>
  <c r="H191" i="2"/>
  <c r="G191" i="2"/>
  <c r="F191" i="2"/>
  <c r="I190" i="2"/>
  <c r="H190" i="2"/>
  <c r="G190" i="2"/>
  <c r="F190" i="2"/>
  <c r="I189" i="2"/>
  <c r="H189" i="2"/>
  <c r="G189" i="2"/>
  <c r="F189" i="2"/>
  <c r="I188" i="2"/>
  <c r="H188" i="2"/>
  <c r="G188" i="2"/>
  <c r="F188" i="2"/>
  <c r="I187" i="2"/>
  <c r="H187" i="2"/>
  <c r="G187" i="2"/>
  <c r="F187" i="2"/>
  <c r="I186" i="2"/>
  <c r="H186" i="2"/>
  <c r="G186" i="2"/>
  <c r="F186" i="2"/>
  <c r="I185" i="2"/>
  <c r="H185" i="2"/>
  <c r="G185" i="2"/>
  <c r="F185" i="2"/>
  <c r="I184" i="2"/>
  <c r="H184" i="2"/>
  <c r="G184" i="2"/>
  <c r="F184" i="2"/>
  <c r="I183" i="2"/>
  <c r="H183" i="2"/>
  <c r="G183" i="2"/>
  <c r="F183" i="2"/>
  <c r="I182" i="2"/>
  <c r="H182" i="2"/>
  <c r="G182" i="2"/>
  <c r="F182" i="2"/>
  <c r="I181" i="2"/>
  <c r="H181" i="2"/>
  <c r="G181" i="2"/>
  <c r="F181" i="2"/>
  <c r="I180" i="2"/>
  <c r="H180" i="2"/>
  <c r="G180" i="2"/>
  <c r="F180" i="2"/>
  <c r="I179" i="2"/>
  <c r="H179" i="2"/>
  <c r="G179" i="2"/>
  <c r="F179" i="2"/>
  <c r="I178" i="2"/>
  <c r="H178" i="2"/>
  <c r="G178" i="2"/>
  <c r="F178" i="2"/>
  <c r="I177" i="2"/>
  <c r="H177" i="2"/>
  <c r="G177" i="2"/>
  <c r="F177" i="2"/>
  <c r="I176" i="2"/>
  <c r="H176" i="2"/>
  <c r="G176" i="2"/>
  <c r="F176" i="2"/>
  <c r="I175" i="2"/>
  <c r="H175" i="2"/>
  <c r="G175" i="2"/>
  <c r="F175" i="2"/>
  <c r="I174" i="2"/>
  <c r="H174" i="2"/>
  <c r="G174" i="2"/>
  <c r="F174" i="2"/>
  <c r="I173" i="2"/>
  <c r="H173" i="2"/>
  <c r="G173" i="2"/>
  <c r="F173" i="2"/>
  <c r="I172" i="2"/>
  <c r="H172" i="2"/>
  <c r="G172" i="2"/>
  <c r="F172" i="2"/>
  <c r="I171" i="2"/>
  <c r="H171" i="2"/>
  <c r="G171" i="2"/>
  <c r="F171" i="2"/>
  <c r="I170" i="2"/>
  <c r="H170" i="2"/>
  <c r="G170" i="2"/>
  <c r="F170" i="2"/>
  <c r="I169" i="2"/>
  <c r="H169" i="2"/>
  <c r="G169" i="2"/>
  <c r="F169" i="2"/>
  <c r="I168" i="2"/>
  <c r="H168" i="2"/>
  <c r="G168" i="2"/>
  <c r="F168" i="2"/>
  <c r="I167" i="2"/>
  <c r="H167" i="2"/>
  <c r="G167" i="2"/>
  <c r="F167" i="2"/>
  <c r="I166" i="2"/>
  <c r="H166" i="2"/>
  <c r="G166" i="2"/>
  <c r="F166" i="2"/>
  <c r="I165" i="2"/>
  <c r="H165" i="2"/>
  <c r="G165" i="2"/>
  <c r="F165" i="2"/>
  <c r="I164" i="2"/>
  <c r="H164" i="2"/>
  <c r="G164" i="2"/>
  <c r="F164" i="2"/>
  <c r="I163" i="2"/>
  <c r="H163" i="2"/>
  <c r="G163" i="2"/>
  <c r="F163" i="2"/>
  <c r="I162" i="2"/>
  <c r="H162" i="2"/>
  <c r="G162" i="2"/>
  <c r="F162" i="2"/>
  <c r="I161" i="2"/>
  <c r="H161" i="2"/>
  <c r="G161" i="2"/>
  <c r="F161" i="2"/>
  <c r="I160" i="2"/>
  <c r="H160" i="2"/>
  <c r="G160" i="2"/>
  <c r="F160" i="2"/>
  <c r="I159" i="2"/>
  <c r="H159" i="2"/>
  <c r="G159" i="2"/>
  <c r="F159" i="2"/>
  <c r="I158" i="2"/>
  <c r="H158" i="2"/>
  <c r="G158" i="2"/>
  <c r="F158" i="2"/>
  <c r="I157" i="2"/>
  <c r="H157" i="2"/>
  <c r="G157" i="2"/>
  <c r="F157" i="2"/>
  <c r="I156" i="2"/>
  <c r="H156" i="2"/>
  <c r="G156" i="2"/>
  <c r="F156" i="2"/>
  <c r="I155" i="2"/>
  <c r="H155" i="2"/>
  <c r="G155" i="2"/>
  <c r="F155" i="2"/>
  <c r="I154" i="2"/>
  <c r="H154" i="2"/>
  <c r="G154" i="2"/>
  <c r="F154" i="2"/>
  <c r="I153" i="2"/>
  <c r="H153" i="2"/>
  <c r="G153" i="2"/>
  <c r="F153" i="2"/>
  <c r="I152" i="2"/>
  <c r="H152" i="2"/>
  <c r="G152" i="2"/>
  <c r="F152" i="2"/>
  <c r="I151" i="2"/>
  <c r="H151" i="2"/>
  <c r="G151" i="2"/>
  <c r="F151" i="2"/>
  <c r="I150" i="2"/>
  <c r="H150" i="2"/>
  <c r="G150" i="2"/>
  <c r="F150" i="2"/>
  <c r="I149" i="2"/>
  <c r="H149" i="2"/>
  <c r="G149" i="2"/>
  <c r="F149" i="2"/>
  <c r="I148" i="2"/>
  <c r="H148" i="2"/>
  <c r="G148" i="2"/>
  <c r="F148" i="2"/>
  <c r="I147" i="2"/>
  <c r="H147" i="2"/>
  <c r="G147" i="2"/>
  <c r="F147" i="2"/>
  <c r="I146" i="2"/>
  <c r="H146" i="2"/>
  <c r="G146" i="2"/>
  <c r="F146" i="2"/>
  <c r="I145" i="2"/>
  <c r="H145" i="2"/>
  <c r="G145" i="2"/>
  <c r="F145" i="2"/>
  <c r="I144" i="2"/>
  <c r="H144" i="2"/>
  <c r="G144" i="2"/>
  <c r="F144" i="2"/>
  <c r="I143" i="2"/>
  <c r="H143" i="2"/>
  <c r="G143" i="2"/>
  <c r="F143" i="2"/>
  <c r="I142" i="2"/>
  <c r="H142" i="2"/>
  <c r="G142" i="2"/>
  <c r="F142" i="2"/>
  <c r="I141" i="2"/>
  <c r="H141" i="2"/>
  <c r="G141" i="2"/>
  <c r="F141" i="2"/>
  <c r="I140" i="2"/>
  <c r="H140" i="2"/>
  <c r="G140" i="2"/>
  <c r="F140" i="2"/>
  <c r="I139" i="2"/>
  <c r="H139" i="2"/>
  <c r="G139" i="2"/>
  <c r="F139" i="2"/>
  <c r="I138" i="2"/>
  <c r="H138" i="2"/>
  <c r="G138" i="2"/>
  <c r="F138" i="2"/>
  <c r="I137" i="2"/>
  <c r="H137" i="2"/>
  <c r="G137" i="2"/>
  <c r="F137" i="2"/>
  <c r="I136" i="2"/>
  <c r="H136" i="2"/>
  <c r="G136" i="2"/>
  <c r="F136" i="2"/>
  <c r="I135" i="2"/>
  <c r="H135" i="2"/>
  <c r="G135" i="2"/>
  <c r="F135" i="2"/>
  <c r="I134" i="2"/>
  <c r="H134" i="2"/>
  <c r="G134" i="2"/>
  <c r="F134" i="2"/>
  <c r="I133" i="2"/>
  <c r="H133" i="2"/>
  <c r="G133" i="2"/>
  <c r="F133" i="2"/>
  <c r="I132" i="2"/>
  <c r="H132" i="2"/>
  <c r="G132" i="2"/>
  <c r="F132" i="2"/>
  <c r="I131" i="2"/>
  <c r="H131" i="2"/>
  <c r="G131" i="2"/>
  <c r="F131" i="2"/>
  <c r="I130" i="2"/>
  <c r="H130" i="2"/>
  <c r="G130" i="2"/>
  <c r="F130" i="2"/>
  <c r="I129" i="2"/>
  <c r="H129" i="2"/>
  <c r="G129" i="2"/>
  <c r="F129" i="2"/>
  <c r="I128" i="2"/>
  <c r="H128" i="2"/>
  <c r="G128" i="2"/>
  <c r="F128" i="2"/>
  <c r="I127" i="2"/>
  <c r="H127" i="2"/>
  <c r="G127" i="2"/>
  <c r="F127" i="2"/>
  <c r="I126" i="2"/>
  <c r="H126" i="2"/>
  <c r="G126" i="2"/>
  <c r="F126" i="2"/>
  <c r="I125" i="2"/>
  <c r="H125" i="2"/>
  <c r="G125" i="2"/>
  <c r="F125" i="2"/>
  <c r="I124" i="2"/>
  <c r="H124" i="2"/>
  <c r="G124" i="2"/>
  <c r="F124" i="2"/>
  <c r="I123" i="2"/>
  <c r="H123" i="2"/>
  <c r="G123" i="2"/>
  <c r="F123" i="2"/>
  <c r="I122" i="2"/>
  <c r="H122" i="2"/>
  <c r="G122" i="2"/>
  <c r="F122" i="2"/>
  <c r="I121" i="2"/>
  <c r="H121" i="2"/>
  <c r="G121" i="2"/>
  <c r="F121" i="2"/>
  <c r="I120" i="2"/>
  <c r="H120" i="2"/>
  <c r="G120" i="2"/>
  <c r="F120" i="2"/>
  <c r="I119" i="2"/>
  <c r="H119" i="2"/>
  <c r="G119" i="2"/>
  <c r="F119" i="2"/>
  <c r="I118" i="2"/>
  <c r="H118" i="2"/>
  <c r="G118" i="2"/>
  <c r="F118" i="2"/>
  <c r="I117" i="2"/>
  <c r="H117" i="2"/>
  <c r="G117" i="2"/>
  <c r="F117" i="2"/>
  <c r="I116" i="2"/>
  <c r="H116" i="2"/>
  <c r="G116" i="2"/>
  <c r="F116" i="2"/>
  <c r="I115" i="2"/>
  <c r="H115" i="2"/>
  <c r="G115" i="2"/>
  <c r="F115" i="2"/>
  <c r="I114" i="2"/>
  <c r="H114" i="2"/>
  <c r="G114" i="2"/>
  <c r="F114" i="2"/>
  <c r="I113" i="2"/>
  <c r="H113" i="2"/>
  <c r="G113" i="2"/>
  <c r="F113" i="2"/>
  <c r="I112" i="2"/>
  <c r="H112" i="2"/>
  <c r="G112" i="2"/>
  <c r="F112" i="2"/>
  <c r="I111" i="2"/>
  <c r="H111" i="2"/>
  <c r="G111" i="2"/>
  <c r="F111" i="2"/>
  <c r="I110" i="2"/>
  <c r="H110" i="2"/>
  <c r="G110" i="2"/>
  <c r="F110" i="2"/>
  <c r="I109" i="2"/>
  <c r="H109" i="2"/>
  <c r="G109" i="2"/>
  <c r="F109" i="2"/>
  <c r="I108" i="2"/>
  <c r="H108" i="2"/>
  <c r="G108" i="2"/>
  <c r="F108" i="2"/>
  <c r="I107" i="2"/>
  <c r="H107" i="2"/>
  <c r="G107" i="2"/>
  <c r="F107" i="2"/>
  <c r="I106" i="2"/>
  <c r="H106" i="2"/>
  <c r="G106" i="2"/>
  <c r="F106" i="2"/>
  <c r="I105" i="2"/>
  <c r="H105" i="2"/>
  <c r="G105" i="2"/>
  <c r="F105" i="2"/>
  <c r="I104" i="2"/>
  <c r="H104" i="2"/>
  <c r="G104" i="2"/>
  <c r="F104" i="2"/>
  <c r="I103" i="2"/>
  <c r="H103" i="2"/>
  <c r="G103" i="2"/>
  <c r="F103" i="2"/>
  <c r="I102" i="2"/>
  <c r="H102" i="2"/>
  <c r="G102" i="2"/>
  <c r="F102" i="2"/>
  <c r="I101" i="2"/>
  <c r="H101" i="2"/>
  <c r="G101" i="2"/>
  <c r="F101" i="2"/>
  <c r="I100" i="2"/>
  <c r="H100" i="2"/>
  <c r="G100" i="2"/>
  <c r="F100" i="2"/>
  <c r="I99" i="2"/>
  <c r="H99" i="2"/>
  <c r="G99" i="2"/>
  <c r="F99" i="2"/>
  <c r="I98" i="2"/>
  <c r="H98" i="2"/>
  <c r="G98" i="2"/>
  <c r="F98" i="2"/>
  <c r="I97" i="2"/>
  <c r="H97" i="2"/>
  <c r="G97" i="2"/>
  <c r="F97" i="2"/>
  <c r="I96" i="2"/>
  <c r="H96" i="2"/>
  <c r="G96" i="2"/>
  <c r="F96" i="2"/>
  <c r="I95" i="2"/>
  <c r="H95" i="2"/>
  <c r="G95" i="2"/>
  <c r="F95" i="2"/>
  <c r="I94" i="2"/>
  <c r="H94" i="2"/>
  <c r="G94" i="2"/>
  <c r="F94" i="2"/>
  <c r="I93" i="2"/>
  <c r="H93" i="2"/>
  <c r="G93" i="2"/>
  <c r="F93" i="2"/>
  <c r="I92" i="2"/>
  <c r="H92" i="2"/>
  <c r="G92" i="2"/>
  <c r="F92" i="2"/>
  <c r="I91" i="2"/>
  <c r="H91" i="2"/>
  <c r="G91" i="2"/>
  <c r="F91" i="2"/>
  <c r="I90" i="2"/>
  <c r="H90" i="2"/>
  <c r="G90" i="2"/>
  <c r="F90" i="2"/>
  <c r="I89" i="2"/>
  <c r="H89" i="2"/>
  <c r="G89" i="2"/>
  <c r="F89" i="2"/>
  <c r="I88" i="2"/>
  <c r="H88" i="2"/>
  <c r="G88" i="2"/>
  <c r="F88" i="2"/>
  <c r="I87" i="2"/>
  <c r="H87" i="2"/>
  <c r="G87" i="2"/>
  <c r="F87" i="2"/>
  <c r="I86" i="2"/>
  <c r="H86" i="2"/>
  <c r="G86" i="2"/>
  <c r="F86" i="2"/>
  <c r="I85" i="2"/>
  <c r="H85" i="2"/>
  <c r="G85" i="2"/>
  <c r="F85" i="2"/>
  <c r="I84" i="2"/>
  <c r="H84" i="2"/>
  <c r="G84" i="2"/>
  <c r="F84" i="2"/>
  <c r="I83" i="2"/>
  <c r="H83" i="2"/>
  <c r="G83" i="2"/>
  <c r="F83" i="2"/>
  <c r="I82" i="2"/>
  <c r="H82" i="2"/>
  <c r="G82" i="2"/>
  <c r="F82" i="2"/>
  <c r="I81" i="2"/>
  <c r="H81" i="2"/>
  <c r="G81" i="2"/>
  <c r="F81" i="2"/>
  <c r="I80" i="2"/>
  <c r="H80" i="2"/>
  <c r="G80" i="2"/>
  <c r="F80" i="2"/>
  <c r="I79" i="2"/>
  <c r="H79" i="2"/>
  <c r="G79" i="2"/>
  <c r="F79" i="2"/>
  <c r="I78" i="2"/>
  <c r="H78" i="2"/>
  <c r="G78" i="2"/>
  <c r="F78" i="2"/>
  <c r="I77" i="2"/>
  <c r="H77" i="2"/>
  <c r="G77" i="2"/>
  <c r="F77" i="2"/>
  <c r="I76" i="2"/>
  <c r="H76" i="2"/>
  <c r="G76" i="2"/>
  <c r="F76" i="2"/>
  <c r="I75" i="2"/>
  <c r="H75" i="2"/>
  <c r="G75" i="2"/>
  <c r="F75" i="2"/>
  <c r="I74" i="2"/>
  <c r="H74" i="2"/>
  <c r="G74" i="2"/>
  <c r="F74" i="2"/>
  <c r="I73" i="2"/>
  <c r="H73" i="2"/>
  <c r="G73" i="2"/>
  <c r="F73" i="2"/>
  <c r="I72" i="2"/>
  <c r="H72" i="2"/>
  <c r="G72" i="2"/>
  <c r="F72" i="2"/>
  <c r="I71" i="2"/>
  <c r="H71" i="2"/>
  <c r="G71" i="2"/>
  <c r="F71" i="2"/>
  <c r="I70" i="2"/>
  <c r="H70" i="2"/>
  <c r="G70" i="2"/>
  <c r="F70" i="2"/>
  <c r="I69" i="2"/>
  <c r="H69" i="2"/>
  <c r="G69" i="2"/>
  <c r="F69" i="2"/>
  <c r="I68" i="2"/>
  <c r="H68" i="2"/>
  <c r="G68" i="2"/>
  <c r="F68" i="2"/>
  <c r="I67" i="2"/>
  <c r="H67" i="2"/>
  <c r="G67" i="2"/>
  <c r="F67" i="2"/>
  <c r="I66" i="2"/>
  <c r="H66" i="2"/>
  <c r="G66" i="2"/>
  <c r="F66" i="2"/>
  <c r="I65" i="2"/>
  <c r="H65" i="2"/>
  <c r="G65" i="2"/>
  <c r="F65" i="2"/>
  <c r="I64" i="2"/>
  <c r="H64" i="2"/>
  <c r="G64" i="2"/>
  <c r="F64" i="2"/>
  <c r="I63" i="2"/>
  <c r="H63" i="2"/>
  <c r="G63" i="2"/>
  <c r="F63" i="2"/>
  <c r="I62" i="2"/>
  <c r="H62" i="2"/>
  <c r="G62" i="2"/>
  <c r="F62" i="2"/>
  <c r="I61" i="2"/>
  <c r="H61" i="2"/>
  <c r="G61" i="2"/>
  <c r="F61" i="2"/>
  <c r="I60" i="2"/>
  <c r="H60" i="2"/>
  <c r="G60" i="2"/>
  <c r="F60" i="2"/>
  <c r="I59" i="2"/>
  <c r="H59" i="2"/>
  <c r="G59" i="2"/>
  <c r="F59" i="2"/>
  <c r="I58" i="2"/>
  <c r="H58" i="2"/>
  <c r="G58" i="2"/>
  <c r="F58" i="2"/>
  <c r="I57" i="2"/>
  <c r="H57" i="2"/>
  <c r="G57" i="2"/>
  <c r="F57" i="2"/>
  <c r="I56" i="2"/>
  <c r="H56" i="2"/>
  <c r="G56" i="2"/>
  <c r="F56" i="2"/>
  <c r="I55" i="2"/>
  <c r="H55" i="2"/>
  <c r="G55" i="2"/>
  <c r="F55" i="2"/>
  <c r="I54" i="2"/>
  <c r="H54" i="2"/>
  <c r="G54" i="2"/>
  <c r="F54" i="2"/>
  <c r="I53" i="2"/>
  <c r="H53" i="2"/>
  <c r="G53" i="2"/>
  <c r="F53" i="2"/>
  <c r="I52" i="2"/>
  <c r="H52" i="2"/>
  <c r="G52" i="2"/>
  <c r="F52" i="2"/>
  <c r="I51" i="2"/>
  <c r="H51" i="2"/>
  <c r="G51" i="2"/>
  <c r="F51" i="2"/>
  <c r="I50" i="2"/>
  <c r="H50" i="2"/>
  <c r="G50" i="2"/>
  <c r="F50" i="2"/>
  <c r="I49" i="2"/>
  <c r="H49" i="2"/>
  <c r="G49" i="2"/>
  <c r="F49" i="2"/>
  <c r="I48" i="2"/>
  <c r="H48" i="2"/>
  <c r="G48" i="2"/>
  <c r="F48" i="2"/>
  <c r="I47" i="2"/>
  <c r="H47" i="2"/>
  <c r="G47" i="2"/>
  <c r="F47" i="2"/>
  <c r="I46" i="2"/>
  <c r="H46" i="2"/>
  <c r="G46" i="2"/>
  <c r="F46" i="2"/>
  <c r="I45" i="2"/>
  <c r="H45" i="2"/>
  <c r="G45" i="2"/>
  <c r="F45" i="2"/>
  <c r="I44" i="2"/>
  <c r="H44" i="2"/>
  <c r="G44" i="2"/>
  <c r="F44" i="2"/>
  <c r="I43" i="2"/>
  <c r="H43" i="2"/>
  <c r="G43" i="2"/>
  <c r="F43" i="2"/>
  <c r="I42" i="2"/>
  <c r="H42" i="2"/>
  <c r="G42" i="2"/>
  <c r="F42" i="2"/>
  <c r="I41" i="2"/>
  <c r="H41" i="2"/>
  <c r="G41" i="2"/>
  <c r="F41" i="2"/>
  <c r="I40" i="2"/>
  <c r="H40" i="2"/>
  <c r="G40" i="2"/>
  <c r="F40" i="2"/>
  <c r="I39" i="2"/>
  <c r="H39" i="2"/>
  <c r="G39" i="2"/>
  <c r="F39" i="2"/>
  <c r="I38" i="2"/>
  <c r="H38" i="2"/>
  <c r="G38" i="2"/>
  <c r="F38" i="2"/>
  <c r="I37" i="2"/>
  <c r="H37" i="2"/>
  <c r="G37" i="2"/>
  <c r="F37" i="2"/>
  <c r="I36" i="2"/>
  <c r="H36" i="2"/>
  <c r="G36" i="2"/>
  <c r="F36" i="2"/>
  <c r="I35" i="2"/>
  <c r="H35" i="2"/>
  <c r="G35" i="2"/>
  <c r="F35" i="2"/>
  <c r="I34" i="2"/>
  <c r="H34" i="2"/>
  <c r="G34" i="2"/>
  <c r="F34" i="2"/>
  <c r="I33" i="2"/>
  <c r="H33" i="2"/>
  <c r="G33" i="2"/>
  <c r="F33" i="2"/>
  <c r="I32" i="2"/>
  <c r="H32" i="2"/>
  <c r="G32" i="2"/>
  <c r="F32" i="2"/>
  <c r="I31" i="2"/>
  <c r="H31" i="2"/>
  <c r="G31" i="2"/>
  <c r="F31" i="2"/>
  <c r="I30" i="2"/>
  <c r="H30" i="2"/>
  <c r="G30" i="2"/>
  <c r="F30" i="2"/>
  <c r="I29" i="2"/>
  <c r="H29" i="2"/>
  <c r="G29" i="2"/>
  <c r="F29" i="2"/>
  <c r="I28" i="2"/>
  <c r="H28" i="2"/>
  <c r="G28" i="2"/>
  <c r="F28" i="2"/>
  <c r="I27" i="2"/>
  <c r="H27" i="2"/>
  <c r="G27" i="2"/>
  <c r="F27" i="2"/>
  <c r="I26" i="2"/>
  <c r="H26" i="2"/>
  <c r="G26" i="2"/>
  <c r="F26" i="2"/>
  <c r="I25" i="2"/>
  <c r="H25" i="2"/>
  <c r="G25" i="2"/>
  <c r="F25" i="2"/>
  <c r="I24" i="2"/>
  <c r="H24" i="2"/>
  <c r="G24" i="2"/>
  <c r="F24" i="2"/>
  <c r="I23" i="2"/>
  <c r="H23" i="2"/>
  <c r="G23" i="2"/>
  <c r="F23" i="2"/>
  <c r="F12" i="2"/>
  <c r="G12" i="2"/>
  <c r="H12" i="2"/>
  <c r="I12" i="2"/>
  <c r="F13" i="2"/>
  <c r="G13" i="2"/>
  <c r="H13" i="2"/>
  <c r="I13" i="2"/>
  <c r="F14" i="2"/>
  <c r="G14" i="2"/>
  <c r="H14" i="2"/>
  <c r="I14" i="2"/>
  <c r="F15" i="2"/>
  <c r="G15" i="2"/>
  <c r="H15" i="2"/>
  <c r="I15" i="2"/>
  <c r="F16" i="2"/>
  <c r="G16" i="2"/>
  <c r="H16" i="2"/>
  <c r="I16" i="2"/>
  <c r="F17" i="2"/>
  <c r="G17" i="2"/>
  <c r="H17" i="2"/>
  <c r="I17" i="2"/>
  <c r="F18" i="2"/>
  <c r="G18" i="2"/>
  <c r="H18" i="2"/>
  <c r="I18" i="2"/>
  <c r="F19" i="2"/>
  <c r="G19" i="2"/>
  <c r="H19" i="2"/>
  <c r="I19" i="2"/>
  <c r="F20" i="2"/>
  <c r="G20" i="2"/>
  <c r="H20" i="2"/>
  <c r="I20" i="2"/>
  <c r="F21" i="2"/>
  <c r="G21" i="2"/>
  <c r="H21" i="2"/>
  <c r="I21" i="2"/>
  <c r="F22" i="2"/>
  <c r="G22" i="2"/>
  <c r="H22" i="2"/>
  <c r="I22" i="2"/>
  <c r="L3" i="2"/>
  <c r="G11" i="2"/>
  <c r="H11" i="2"/>
  <c r="I11" i="2"/>
  <c r="F11" i="2"/>
  <c r="N12" i="4"/>
  <c r="O12" i="4" s="1"/>
  <c r="R23" i="4"/>
  <c r="S23" i="4" s="1"/>
  <c r="P23" i="4"/>
  <c r="Q23" i="4" s="1"/>
  <c r="R12" i="4"/>
  <c r="S12" i="4" s="1"/>
  <c r="P12" i="4"/>
  <c r="Q12" i="4" s="1"/>
  <c r="R299" i="4"/>
  <c r="S299" i="4" s="1"/>
  <c r="P299" i="4"/>
  <c r="Q299" i="4" s="1"/>
  <c r="R287" i="4"/>
  <c r="S287" i="4" s="1"/>
  <c r="P287" i="4"/>
  <c r="Q287" i="4" s="1"/>
  <c r="R275" i="4"/>
  <c r="S275" i="4" s="1"/>
  <c r="P275" i="4"/>
  <c r="Q275" i="4" s="1"/>
  <c r="R263" i="4"/>
  <c r="S263" i="4" s="1"/>
  <c r="P263" i="4"/>
  <c r="Q263" i="4" s="1"/>
  <c r="R251" i="4"/>
  <c r="S251" i="4" s="1"/>
  <c r="P251" i="4"/>
  <c r="Q251" i="4" s="1"/>
  <c r="R239" i="4"/>
  <c r="S239" i="4" s="1"/>
  <c r="P239" i="4"/>
  <c r="Q239" i="4" s="1"/>
  <c r="R227" i="4"/>
  <c r="S227" i="4" s="1"/>
  <c r="P227" i="4"/>
  <c r="Q227" i="4" s="1"/>
  <c r="R215" i="4"/>
  <c r="S215" i="4" s="1"/>
  <c r="P215" i="4"/>
  <c r="Q215" i="4" s="1"/>
  <c r="R203" i="4"/>
  <c r="S203" i="4" s="1"/>
  <c r="P203" i="4"/>
  <c r="Q203" i="4" s="1"/>
  <c r="R191" i="4"/>
  <c r="S191" i="4" s="1"/>
  <c r="P191" i="4"/>
  <c r="Q191" i="4" s="1"/>
  <c r="R179" i="4"/>
  <c r="S179" i="4" s="1"/>
  <c r="P179" i="4"/>
  <c r="Q179" i="4" s="1"/>
  <c r="R167" i="4"/>
  <c r="S167" i="4" s="1"/>
  <c r="P167" i="4"/>
  <c r="Q167" i="4" s="1"/>
  <c r="R155" i="4"/>
  <c r="S155" i="4" s="1"/>
  <c r="P155" i="4"/>
  <c r="Q155" i="4" s="1"/>
  <c r="R143" i="4"/>
  <c r="S143" i="4" s="1"/>
  <c r="P143" i="4"/>
  <c r="Q143" i="4" s="1"/>
  <c r="R131" i="4"/>
  <c r="S131" i="4" s="1"/>
  <c r="P131" i="4"/>
  <c r="Q131" i="4" s="1"/>
  <c r="R119" i="4"/>
  <c r="S119" i="4" s="1"/>
  <c r="P119" i="4"/>
  <c r="Q119" i="4" s="1"/>
  <c r="R107" i="4"/>
  <c r="S107" i="4" s="1"/>
  <c r="P107" i="4"/>
  <c r="Q107" i="4" s="1"/>
  <c r="R95" i="4"/>
  <c r="S95" i="4" s="1"/>
  <c r="P95" i="4"/>
  <c r="Q95" i="4" s="1"/>
  <c r="R83" i="4"/>
  <c r="S83" i="4" s="1"/>
  <c r="P83" i="4"/>
  <c r="Q83" i="4" s="1"/>
  <c r="R71" i="4"/>
  <c r="S71" i="4" s="1"/>
  <c r="P71" i="4"/>
  <c r="Q71" i="4" s="1"/>
  <c r="R59" i="4"/>
  <c r="S59" i="4" s="1"/>
  <c r="P59" i="4"/>
  <c r="Q59" i="4" s="1"/>
  <c r="R47" i="4"/>
  <c r="S47" i="4" s="1"/>
  <c r="P47" i="4"/>
  <c r="Q47" i="4" s="1"/>
  <c r="R35" i="4"/>
  <c r="S35" i="4" s="1"/>
  <c r="P35" i="4"/>
  <c r="Q35" i="4" s="1"/>
  <c r="R312" i="4"/>
  <c r="S312" i="4" s="1"/>
  <c r="P312" i="4"/>
  <c r="Q312" i="4" s="1"/>
  <c r="L312" i="4"/>
  <c r="M312" i="4" s="1"/>
  <c r="L311" i="4"/>
  <c r="M311" i="4" s="1"/>
  <c r="L310" i="4"/>
  <c r="M310" i="4" s="1"/>
  <c r="L309" i="4"/>
  <c r="M309" i="4" s="1"/>
  <c r="L308" i="4"/>
  <c r="M308" i="4" s="1"/>
  <c r="L306" i="4"/>
  <c r="M306" i="4" s="1"/>
  <c r="L305" i="4"/>
  <c r="M305" i="4" s="1"/>
  <c r="L304" i="4"/>
  <c r="M304" i="4" s="1"/>
  <c r="L303" i="4"/>
  <c r="M303" i="4" s="1"/>
  <c r="L302" i="4"/>
  <c r="M302" i="4" s="1"/>
  <c r="L301" i="4"/>
  <c r="M301" i="4" s="1"/>
  <c r="L300" i="4"/>
  <c r="M300" i="4" s="1"/>
  <c r="L299" i="4"/>
  <c r="M299" i="4" s="1"/>
  <c r="L298" i="4"/>
  <c r="M298" i="4" s="1"/>
  <c r="L297" i="4"/>
  <c r="M297" i="4" s="1"/>
  <c r="L296" i="4"/>
  <c r="M296" i="4" s="1"/>
  <c r="L295" i="4"/>
  <c r="M295" i="4" s="1"/>
  <c r="L294" i="4"/>
  <c r="M294" i="4" s="1"/>
  <c r="L293" i="4"/>
  <c r="M293" i="4" s="1"/>
  <c r="L292" i="4"/>
  <c r="M292" i="4" s="1"/>
  <c r="L291" i="4"/>
  <c r="M291" i="4" s="1"/>
  <c r="L290" i="4"/>
  <c r="M290" i="4" s="1"/>
  <c r="L289" i="4"/>
  <c r="M289" i="4" s="1"/>
  <c r="L288" i="4"/>
  <c r="M288" i="4" s="1"/>
  <c r="L287" i="4"/>
  <c r="M287" i="4" s="1"/>
  <c r="L286" i="4"/>
  <c r="M286" i="4" s="1"/>
  <c r="L285" i="4"/>
  <c r="M285" i="4" s="1"/>
  <c r="L284" i="4"/>
  <c r="M284" i="4" s="1"/>
  <c r="L283" i="4"/>
  <c r="M283" i="4" s="1"/>
  <c r="L282" i="4"/>
  <c r="M282" i="4" s="1"/>
  <c r="L281" i="4"/>
  <c r="M281" i="4" s="1"/>
  <c r="L280" i="4"/>
  <c r="M280" i="4" s="1"/>
  <c r="L279" i="4"/>
  <c r="M279" i="4" s="1"/>
  <c r="L278" i="4"/>
  <c r="M278" i="4" s="1"/>
  <c r="L277" i="4"/>
  <c r="M277" i="4" s="1"/>
  <c r="L276" i="4"/>
  <c r="M276" i="4" s="1"/>
  <c r="L275" i="4"/>
  <c r="M275" i="4" s="1"/>
  <c r="L274" i="4"/>
  <c r="M274" i="4" s="1"/>
  <c r="L273" i="4"/>
  <c r="M273" i="4" s="1"/>
  <c r="L272" i="4"/>
  <c r="M272" i="4" s="1"/>
  <c r="L271" i="4"/>
  <c r="M271" i="4" s="1"/>
  <c r="L270" i="4"/>
  <c r="M270" i="4" s="1"/>
  <c r="L269" i="4"/>
  <c r="M269" i="4" s="1"/>
  <c r="L268" i="4"/>
  <c r="M268" i="4" s="1"/>
  <c r="L267" i="4"/>
  <c r="M267" i="4" s="1"/>
  <c r="L266" i="4"/>
  <c r="M266" i="4" s="1"/>
  <c r="L265" i="4"/>
  <c r="M265" i="4" s="1"/>
  <c r="L264" i="4"/>
  <c r="M264" i="4" s="1"/>
  <c r="L263" i="4"/>
  <c r="M263" i="4" s="1"/>
  <c r="L262" i="4"/>
  <c r="M262" i="4" s="1"/>
  <c r="L261" i="4"/>
  <c r="M261" i="4" s="1"/>
  <c r="L260" i="4"/>
  <c r="M260" i="4" s="1"/>
  <c r="L259" i="4"/>
  <c r="M259" i="4" s="1"/>
  <c r="L258" i="4"/>
  <c r="M258" i="4" s="1"/>
  <c r="L257" i="4"/>
  <c r="M257" i="4" s="1"/>
  <c r="L256" i="4"/>
  <c r="M256" i="4" s="1"/>
  <c r="L255" i="4"/>
  <c r="M255" i="4" s="1"/>
  <c r="L254" i="4"/>
  <c r="M254" i="4" s="1"/>
  <c r="L253" i="4"/>
  <c r="M253" i="4" s="1"/>
  <c r="L252" i="4"/>
  <c r="M252" i="4" s="1"/>
  <c r="L251" i="4"/>
  <c r="M251" i="4" s="1"/>
  <c r="L250" i="4"/>
  <c r="M250" i="4" s="1"/>
  <c r="L249" i="4"/>
  <c r="M249" i="4" s="1"/>
  <c r="L248" i="4"/>
  <c r="M248" i="4" s="1"/>
  <c r="L247" i="4"/>
  <c r="M247" i="4" s="1"/>
  <c r="L246" i="4"/>
  <c r="M246" i="4" s="1"/>
  <c r="L245" i="4"/>
  <c r="M245" i="4" s="1"/>
  <c r="L244" i="4"/>
  <c r="M244" i="4" s="1"/>
  <c r="L243" i="4"/>
  <c r="M243" i="4" s="1"/>
  <c r="L242" i="4"/>
  <c r="M242" i="4" s="1"/>
  <c r="L241" i="4"/>
  <c r="M241" i="4" s="1"/>
  <c r="L240" i="4"/>
  <c r="M240" i="4" s="1"/>
  <c r="L239" i="4"/>
  <c r="M239" i="4" s="1"/>
  <c r="L238" i="4"/>
  <c r="M238" i="4" s="1"/>
  <c r="L237" i="4"/>
  <c r="M237" i="4" s="1"/>
  <c r="L236" i="4"/>
  <c r="M236" i="4" s="1"/>
  <c r="L235" i="4"/>
  <c r="M235" i="4" s="1"/>
  <c r="L234" i="4"/>
  <c r="M234" i="4" s="1"/>
  <c r="L233" i="4"/>
  <c r="M233" i="4" s="1"/>
  <c r="L232" i="4"/>
  <c r="M232" i="4" s="1"/>
  <c r="L231" i="4"/>
  <c r="M231" i="4" s="1"/>
  <c r="L230" i="4"/>
  <c r="M230" i="4" s="1"/>
  <c r="L229" i="4"/>
  <c r="M229" i="4" s="1"/>
  <c r="L228" i="4"/>
  <c r="M228" i="4" s="1"/>
  <c r="L227" i="4"/>
  <c r="M227" i="4" s="1"/>
  <c r="L226" i="4"/>
  <c r="M226" i="4" s="1"/>
  <c r="L225" i="4"/>
  <c r="M225" i="4" s="1"/>
  <c r="L224" i="4"/>
  <c r="M224" i="4" s="1"/>
  <c r="L223" i="4"/>
  <c r="M223" i="4" s="1"/>
  <c r="L222" i="4"/>
  <c r="M222" i="4" s="1"/>
  <c r="L221" i="4"/>
  <c r="M221" i="4" s="1"/>
  <c r="L220" i="4"/>
  <c r="M220" i="4" s="1"/>
  <c r="L219" i="4"/>
  <c r="M219" i="4" s="1"/>
  <c r="L218" i="4"/>
  <c r="M218" i="4" s="1"/>
  <c r="L217" i="4"/>
  <c r="M217" i="4" s="1"/>
  <c r="L216" i="4"/>
  <c r="M216" i="4" s="1"/>
  <c r="L215" i="4"/>
  <c r="M215" i="4" s="1"/>
  <c r="L214" i="4"/>
  <c r="M214" i="4" s="1"/>
  <c r="L213" i="4"/>
  <c r="M213" i="4" s="1"/>
  <c r="L212" i="4"/>
  <c r="M212" i="4" s="1"/>
  <c r="L211" i="4"/>
  <c r="M211" i="4" s="1"/>
  <c r="L210" i="4"/>
  <c r="M210" i="4" s="1"/>
  <c r="L209" i="4"/>
  <c r="M209" i="4" s="1"/>
  <c r="L208" i="4"/>
  <c r="M208" i="4" s="1"/>
  <c r="L207" i="4"/>
  <c r="M207" i="4" s="1"/>
  <c r="L206" i="4"/>
  <c r="M206" i="4" s="1"/>
  <c r="L205" i="4"/>
  <c r="M205" i="4" s="1"/>
  <c r="L204" i="4"/>
  <c r="M204" i="4" s="1"/>
  <c r="L203" i="4"/>
  <c r="M203" i="4" s="1"/>
  <c r="L202" i="4"/>
  <c r="M202" i="4" s="1"/>
  <c r="L201" i="4"/>
  <c r="M201" i="4" s="1"/>
  <c r="L200" i="4"/>
  <c r="M200" i="4" s="1"/>
  <c r="L199" i="4"/>
  <c r="M199" i="4" s="1"/>
  <c r="L198" i="4"/>
  <c r="M198" i="4" s="1"/>
  <c r="L197" i="4"/>
  <c r="M197" i="4" s="1"/>
  <c r="L196" i="4"/>
  <c r="M196" i="4" s="1"/>
  <c r="L195" i="4"/>
  <c r="M195" i="4" s="1"/>
  <c r="L194" i="4"/>
  <c r="M194" i="4" s="1"/>
  <c r="L193" i="4"/>
  <c r="M193" i="4" s="1"/>
  <c r="L192" i="4"/>
  <c r="M192" i="4" s="1"/>
  <c r="L191" i="4"/>
  <c r="M191" i="4" s="1"/>
  <c r="L190" i="4"/>
  <c r="M190" i="4" s="1"/>
  <c r="L189" i="4"/>
  <c r="M189" i="4" s="1"/>
  <c r="L188" i="4"/>
  <c r="M188" i="4" s="1"/>
  <c r="L187" i="4"/>
  <c r="M187" i="4" s="1"/>
  <c r="L186" i="4"/>
  <c r="M186" i="4" s="1"/>
  <c r="L185" i="4"/>
  <c r="M185" i="4" s="1"/>
  <c r="L184" i="4"/>
  <c r="M184" i="4" s="1"/>
  <c r="L183" i="4"/>
  <c r="M183" i="4" s="1"/>
  <c r="L182" i="4"/>
  <c r="M182" i="4" s="1"/>
  <c r="L181" i="4"/>
  <c r="M181" i="4" s="1"/>
  <c r="L180" i="4"/>
  <c r="M180" i="4" s="1"/>
  <c r="L179" i="4"/>
  <c r="M179" i="4" s="1"/>
  <c r="L178" i="4"/>
  <c r="M178" i="4" s="1"/>
  <c r="L177" i="4"/>
  <c r="M177" i="4" s="1"/>
  <c r="L176" i="4"/>
  <c r="M176" i="4" s="1"/>
  <c r="L175" i="4"/>
  <c r="M175" i="4" s="1"/>
  <c r="L174" i="4"/>
  <c r="M174" i="4" s="1"/>
  <c r="L173" i="4"/>
  <c r="M173" i="4" s="1"/>
  <c r="L172" i="4"/>
  <c r="M172" i="4" s="1"/>
  <c r="L171" i="4"/>
  <c r="M171" i="4" s="1"/>
  <c r="L170" i="4"/>
  <c r="M170" i="4" s="1"/>
  <c r="L169" i="4"/>
  <c r="M169" i="4" s="1"/>
  <c r="L168" i="4"/>
  <c r="M168" i="4" s="1"/>
  <c r="L167" i="4"/>
  <c r="M167" i="4" s="1"/>
  <c r="L166" i="4"/>
  <c r="M166" i="4" s="1"/>
  <c r="L165" i="4"/>
  <c r="M165" i="4" s="1"/>
  <c r="L164" i="4"/>
  <c r="M164" i="4" s="1"/>
  <c r="L163" i="4"/>
  <c r="M163" i="4" s="1"/>
  <c r="L162" i="4"/>
  <c r="M162" i="4" s="1"/>
  <c r="L161" i="4"/>
  <c r="M161" i="4" s="1"/>
  <c r="L160" i="4"/>
  <c r="M160" i="4" s="1"/>
  <c r="L159" i="4"/>
  <c r="M159" i="4" s="1"/>
  <c r="L158" i="4"/>
  <c r="M158" i="4" s="1"/>
  <c r="L157" i="4"/>
  <c r="M157" i="4" s="1"/>
  <c r="L156" i="4"/>
  <c r="M156" i="4" s="1"/>
  <c r="L155" i="4"/>
  <c r="M155" i="4" s="1"/>
  <c r="L154" i="4"/>
  <c r="M154" i="4" s="1"/>
  <c r="L153" i="4"/>
  <c r="M153" i="4" s="1"/>
  <c r="L152" i="4"/>
  <c r="M152" i="4" s="1"/>
  <c r="L151" i="4"/>
  <c r="M151" i="4" s="1"/>
  <c r="L150" i="4"/>
  <c r="M150" i="4" s="1"/>
  <c r="L149" i="4"/>
  <c r="M149" i="4" s="1"/>
  <c r="L148" i="4"/>
  <c r="M148" i="4" s="1"/>
  <c r="L147" i="4"/>
  <c r="M147" i="4" s="1"/>
  <c r="L146" i="4"/>
  <c r="M146" i="4" s="1"/>
  <c r="L145" i="4"/>
  <c r="M145" i="4" s="1"/>
  <c r="L144" i="4"/>
  <c r="M144" i="4" s="1"/>
  <c r="L143" i="4"/>
  <c r="M143" i="4" s="1"/>
  <c r="L142" i="4"/>
  <c r="M142" i="4" s="1"/>
  <c r="L141" i="4"/>
  <c r="M141" i="4" s="1"/>
  <c r="L140" i="4"/>
  <c r="M140" i="4" s="1"/>
  <c r="L139" i="4"/>
  <c r="M139" i="4" s="1"/>
  <c r="L138" i="4"/>
  <c r="M138" i="4" s="1"/>
  <c r="L137" i="4"/>
  <c r="M137" i="4" s="1"/>
  <c r="L136" i="4"/>
  <c r="M136" i="4" s="1"/>
  <c r="L135" i="4"/>
  <c r="M135" i="4" s="1"/>
  <c r="L134" i="4"/>
  <c r="M134" i="4" s="1"/>
  <c r="L133" i="4"/>
  <c r="M133" i="4" s="1"/>
  <c r="L132" i="4"/>
  <c r="M132" i="4" s="1"/>
  <c r="L131" i="4"/>
  <c r="M131" i="4" s="1"/>
  <c r="L130" i="4"/>
  <c r="M130" i="4" s="1"/>
  <c r="L129" i="4"/>
  <c r="M129" i="4" s="1"/>
  <c r="L128" i="4"/>
  <c r="M128" i="4" s="1"/>
  <c r="L127" i="4"/>
  <c r="M127" i="4" s="1"/>
  <c r="L126" i="4"/>
  <c r="M126" i="4" s="1"/>
  <c r="L125" i="4"/>
  <c r="M125" i="4" s="1"/>
  <c r="L124" i="4"/>
  <c r="M124" i="4" s="1"/>
  <c r="L123" i="4"/>
  <c r="M123" i="4" s="1"/>
  <c r="L122" i="4"/>
  <c r="M122" i="4" s="1"/>
  <c r="L121" i="4"/>
  <c r="M121" i="4" s="1"/>
  <c r="L120" i="4"/>
  <c r="M120" i="4" s="1"/>
  <c r="L119" i="4"/>
  <c r="M119" i="4" s="1"/>
  <c r="L118" i="4"/>
  <c r="M118" i="4" s="1"/>
  <c r="L117" i="4"/>
  <c r="M117" i="4" s="1"/>
  <c r="L116" i="4"/>
  <c r="M116" i="4" s="1"/>
  <c r="L115" i="4"/>
  <c r="M115" i="4" s="1"/>
  <c r="L114" i="4"/>
  <c r="M114" i="4" s="1"/>
  <c r="L113" i="4"/>
  <c r="M113" i="4" s="1"/>
  <c r="L112" i="4"/>
  <c r="M112" i="4" s="1"/>
  <c r="L111" i="4"/>
  <c r="M111" i="4" s="1"/>
  <c r="L110" i="4"/>
  <c r="M110" i="4" s="1"/>
  <c r="L109" i="4"/>
  <c r="M109" i="4" s="1"/>
  <c r="L108" i="4"/>
  <c r="M108" i="4" s="1"/>
  <c r="L107" i="4"/>
  <c r="M107" i="4" s="1"/>
  <c r="L106" i="4"/>
  <c r="M106" i="4" s="1"/>
  <c r="L105" i="4"/>
  <c r="M105" i="4" s="1"/>
  <c r="L104" i="4"/>
  <c r="M104" i="4" s="1"/>
  <c r="L103" i="4"/>
  <c r="M103" i="4" s="1"/>
  <c r="L102" i="4"/>
  <c r="M102" i="4" s="1"/>
  <c r="L101" i="4"/>
  <c r="M101" i="4" s="1"/>
  <c r="L100" i="4"/>
  <c r="M100" i="4" s="1"/>
  <c r="L99" i="4"/>
  <c r="M99" i="4" s="1"/>
  <c r="L98" i="4"/>
  <c r="M98" i="4" s="1"/>
  <c r="L97" i="4"/>
  <c r="M97" i="4" s="1"/>
  <c r="L96" i="4"/>
  <c r="M96" i="4" s="1"/>
  <c r="L95" i="4"/>
  <c r="M95" i="4" s="1"/>
  <c r="L94" i="4"/>
  <c r="M94" i="4" s="1"/>
  <c r="L93" i="4"/>
  <c r="M93" i="4" s="1"/>
  <c r="L92" i="4"/>
  <c r="M92" i="4" s="1"/>
  <c r="L91" i="4"/>
  <c r="M91" i="4" s="1"/>
  <c r="L90" i="4"/>
  <c r="M90" i="4" s="1"/>
  <c r="L89" i="4"/>
  <c r="M89" i="4" s="1"/>
  <c r="L88" i="4"/>
  <c r="M88" i="4" s="1"/>
  <c r="L87" i="4"/>
  <c r="M87" i="4" s="1"/>
  <c r="L86" i="4"/>
  <c r="M86" i="4" s="1"/>
  <c r="L85" i="4"/>
  <c r="M85" i="4" s="1"/>
  <c r="L84" i="4"/>
  <c r="M84" i="4" s="1"/>
  <c r="L83" i="4"/>
  <c r="M83" i="4" s="1"/>
  <c r="L82" i="4"/>
  <c r="M82" i="4" s="1"/>
  <c r="L81" i="4"/>
  <c r="M81" i="4" s="1"/>
  <c r="L80" i="4"/>
  <c r="M80" i="4" s="1"/>
  <c r="L79" i="4"/>
  <c r="M79" i="4" s="1"/>
  <c r="L78" i="4"/>
  <c r="M78" i="4" s="1"/>
  <c r="L77" i="4"/>
  <c r="M77" i="4" s="1"/>
  <c r="L76" i="4"/>
  <c r="M76" i="4" s="1"/>
  <c r="L75" i="4"/>
  <c r="M75" i="4" s="1"/>
  <c r="L74" i="4"/>
  <c r="M74" i="4" s="1"/>
  <c r="L73" i="4"/>
  <c r="M73" i="4" s="1"/>
  <c r="L72" i="4"/>
  <c r="M72" i="4" s="1"/>
  <c r="L71" i="4"/>
  <c r="M71" i="4" s="1"/>
  <c r="L70" i="4"/>
  <c r="M70" i="4" s="1"/>
  <c r="L69" i="4"/>
  <c r="M69" i="4" s="1"/>
  <c r="L68" i="4"/>
  <c r="M68" i="4" s="1"/>
  <c r="L67" i="4"/>
  <c r="M67" i="4" s="1"/>
  <c r="L66" i="4"/>
  <c r="M66" i="4" s="1"/>
  <c r="L65" i="4"/>
  <c r="M65" i="4" s="1"/>
  <c r="L64" i="4"/>
  <c r="M64" i="4" s="1"/>
  <c r="L63" i="4"/>
  <c r="M63" i="4" s="1"/>
  <c r="L62" i="4"/>
  <c r="M62" i="4" s="1"/>
  <c r="L61" i="4"/>
  <c r="M61" i="4" s="1"/>
  <c r="L60" i="4"/>
  <c r="M60" i="4" s="1"/>
  <c r="L59" i="4"/>
  <c r="M59" i="4" s="1"/>
  <c r="L58" i="4"/>
  <c r="M58" i="4" s="1"/>
  <c r="L57" i="4"/>
  <c r="M57" i="4" s="1"/>
  <c r="L56" i="4"/>
  <c r="M56" i="4" s="1"/>
  <c r="L55" i="4"/>
  <c r="M55" i="4" s="1"/>
  <c r="L54" i="4"/>
  <c r="M54" i="4" s="1"/>
  <c r="L53" i="4"/>
  <c r="M53" i="4" s="1"/>
  <c r="L52" i="4"/>
  <c r="M52" i="4" s="1"/>
  <c r="L51" i="4"/>
  <c r="M51" i="4" s="1"/>
  <c r="L50" i="4"/>
  <c r="M50" i="4" s="1"/>
  <c r="L49" i="4"/>
  <c r="M49" i="4" s="1"/>
  <c r="L48" i="4"/>
  <c r="M48" i="4" s="1"/>
  <c r="L47" i="4"/>
  <c r="M47" i="4" s="1"/>
  <c r="L46" i="4"/>
  <c r="M46" i="4" s="1"/>
  <c r="L45" i="4"/>
  <c r="M45" i="4" s="1"/>
  <c r="L44" i="4"/>
  <c r="M44" i="4" s="1"/>
  <c r="L43" i="4"/>
  <c r="M43" i="4" s="1"/>
  <c r="L42" i="4"/>
  <c r="M42" i="4" s="1"/>
  <c r="L41" i="4"/>
  <c r="M41" i="4" s="1"/>
  <c r="L40" i="4"/>
  <c r="M40" i="4" s="1"/>
  <c r="L39" i="4"/>
  <c r="M39" i="4" s="1"/>
  <c r="L38" i="4"/>
  <c r="M38" i="4" s="1"/>
  <c r="L37" i="4"/>
  <c r="M37" i="4" s="1"/>
  <c r="L36" i="4"/>
  <c r="M36" i="4" s="1"/>
  <c r="L35" i="4"/>
  <c r="M35" i="4" s="1"/>
  <c r="L34" i="4"/>
  <c r="M34" i="4" s="1"/>
  <c r="L33" i="4"/>
  <c r="M33" i="4" s="1"/>
  <c r="L32" i="4"/>
  <c r="M32" i="4" s="1"/>
  <c r="L31" i="4"/>
  <c r="M31" i="4" s="1"/>
  <c r="L30" i="4"/>
  <c r="M30" i="4" s="1"/>
  <c r="L29" i="4"/>
  <c r="M29" i="4" s="1"/>
  <c r="L28" i="4"/>
  <c r="M28" i="4" s="1"/>
  <c r="L27" i="4"/>
  <c r="M27" i="4" s="1"/>
  <c r="L26" i="4"/>
  <c r="M26" i="4" s="1"/>
  <c r="L25" i="4"/>
  <c r="M25" i="4" s="1"/>
  <c r="L24" i="4"/>
  <c r="M24" i="4" s="1"/>
  <c r="L23" i="4"/>
  <c r="M23" i="4" s="1"/>
  <c r="L22" i="4"/>
  <c r="M22" i="4" s="1"/>
  <c r="L21" i="4"/>
  <c r="M21" i="4" s="1"/>
  <c r="L20" i="4"/>
  <c r="M20" i="4" s="1"/>
  <c r="L19" i="4"/>
  <c r="M19" i="4" s="1"/>
  <c r="L18" i="4"/>
  <c r="M18" i="4" s="1"/>
  <c r="L17" i="4"/>
  <c r="M17" i="4" s="1"/>
  <c r="L16" i="4"/>
  <c r="M16" i="4" s="1"/>
  <c r="L15" i="4"/>
  <c r="M15" i="4" s="1"/>
  <c r="L14" i="4"/>
  <c r="M14" i="4" s="1"/>
  <c r="L13" i="4"/>
  <c r="M13" i="4" s="1"/>
  <c r="L12" i="4"/>
  <c r="M12" i="4" s="1"/>
  <c r="J311" i="4"/>
  <c r="K311" i="4" s="1"/>
  <c r="J310" i="4"/>
  <c r="K310" i="4" s="1"/>
  <c r="J309" i="4"/>
  <c r="K309" i="4" s="1"/>
  <c r="J308" i="4"/>
  <c r="K308" i="4" s="1"/>
  <c r="J306" i="4"/>
  <c r="K306" i="4" s="1"/>
  <c r="J305" i="4"/>
  <c r="K305" i="4" s="1"/>
  <c r="J304" i="4"/>
  <c r="K304" i="4" s="1"/>
  <c r="J303" i="4"/>
  <c r="K303" i="4" s="1"/>
  <c r="J302" i="4"/>
  <c r="K302" i="4" s="1"/>
  <c r="J301" i="4"/>
  <c r="K301" i="4" s="1"/>
  <c r="J300" i="4"/>
  <c r="K300" i="4" s="1"/>
  <c r="J299" i="4"/>
  <c r="K299" i="4" s="1"/>
  <c r="J298" i="4"/>
  <c r="K298" i="4" s="1"/>
  <c r="J297" i="4"/>
  <c r="K297" i="4" s="1"/>
  <c r="J296" i="4"/>
  <c r="K296" i="4" s="1"/>
  <c r="J295" i="4"/>
  <c r="K295" i="4" s="1"/>
  <c r="J294" i="4"/>
  <c r="K294" i="4" s="1"/>
  <c r="J293" i="4"/>
  <c r="K293" i="4" s="1"/>
  <c r="J292" i="4"/>
  <c r="K292" i="4" s="1"/>
  <c r="J291" i="4"/>
  <c r="K291" i="4" s="1"/>
  <c r="J290" i="4"/>
  <c r="K290" i="4" s="1"/>
  <c r="J289" i="4"/>
  <c r="K289" i="4" s="1"/>
  <c r="J288" i="4"/>
  <c r="K288" i="4" s="1"/>
  <c r="J287" i="4"/>
  <c r="K287" i="4" s="1"/>
  <c r="J286" i="4"/>
  <c r="K286" i="4" s="1"/>
  <c r="J285" i="4"/>
  <c r="K285" i="4" s="1"/>
  <c r="J284" i="4"/>
  <c r="K284" i="4" s="1"/>
  <c r="J283" i="4"/>
  <c r="K283" i="4" s="1"/>
  <c r="J282" i="4"/>
  <c r="K282" i="4" s="1"/>
  <c r="J281" i="4"/>
  <c r="K281" i="4" s="1"/>
  <c r="J280" i="4"/>
  <c r="K280" i="4" s="1"/>
  <c r="J279" i="4"/>
  <c r="K279" i="4" s="1"/>
  <c r="J278" i="4"/>
  <c r="K278" i="4" s="1"/>
  <c r="J277" i="4"/>
  <c r="K277" i="4" s="1"/>
  <c r="J276" i="4"/>
  <c r="K276" i="4" s="1"/>
  <c r="J275" i="4"/>
  <c r="K275" i="4" s="1"/>
  <c r="J274" i="4"/>
  <c r="K274" i="4" s="1"/>
  <c r="J273" i="4"/>
  <c r="K273" i="4" s="1"/>
  <c r="J272" i="4"/>
  <c r="K272" i="4" s="1"/>
  <c r="J271" i="4"/>
  <c r="K271" i="4" s="1"/>
  <c r="J270" i="4"/>
  <c r="K270" i="4" s="1"/>
  <c r="J269" i="4"/>
  <c r="K269" i="4" s="1"/>
  <c r="J268" i="4"/>
  <c r="K268" i="4" s="1"/>
  <c r="J267" i="4"/>
  <c r="K267" i="4" s="1"/>
  <c r="J266" i="4"/>
  <c r="K266" i="4" s="1"/>
  <c r="J265" i="4"/>
  <c r="K265" i="4" s="1"/>
  <c r="J264" i="4"/>
  <c r="K264" i="4" s="1"/>
  <c r="J263" i="4"/>
  <c r="K263" i="4" s="1"/>
  <c r="J262" i="4"/>
  <c r="K262" i="4" s="1"/>
  <c r="J261" i="4"/>
  <c r="K261" i="4" s="1"/>
  <c r="J260" i="4"/>
  <c r="K260" i="4" s="1"/>
  <c r="J259" i="4"/>
  <c r="K259" i="4" s="1"/>
  <c r="J258" i="4"/>
  <c r="K258" i="4" s="1"/>
  <c r="J257" i="4"/>
  <c r="K257" i="4" s="1"/>
  <c r="J256" i="4"/>
  <c r="K256" i="4" s="1"/>
  <c r="J255" i="4"/>
  <c r="K255" i="4" s="1"/>
  <c r="J254" i="4"/>
  <c r="K254" i="4" s="1"/>
  <c r="J253" i="4"/>
  <c r="K253" i="4" s="1"/>
  <c r="J252" i="4"/>
  <c r="K252" i="4" s="1"/>
  <c r="J251" i="4"/>
  <c r="K251" i="4" s="1"/>
  <c r="J250" i="4"/>
  <c r="K250" i="4" s="1"/>
  <c r="J249" i="4"/>
  <c r="K249" i="4" s="1"/>
  <c r="J248" i="4"/>
  <c r="K248" i="4" s="1"/>
  <c r="J247" i="4"/>
  <c r="K247" i="4" s="1"/>
  <c r="J246" i="4"/>
  <c r="K246" i="4" s="1"/>
  <c r="J245" i="4"/>
  <c r="K245" i="4" s="1"/>
  <c r="J244" i="4"/>
  <c r="K244" i="4" s="1"/>
  <c r="J243" i="4"/>
  <c r="K243" i="4" s="1"/>
  <c r="J242" i="4"/>
  <c r="K242" i="4" s="1"/>
  <c r="J241" i="4"/>
  <c r="K241" i="4" s="1"/>
  <c r="J240" i="4"/>
  <c r="K240" i="4" s="1"/>
  <c r="J239" i="4"/>
  <c r="K239" i="4" s="1"/>
  <c r="J238" i="4"/>
  <c r="K238" i="4" s="1"/>
  <c r="J237" i="4"/>
  <c r="K237" i="4" s="1"/>
  <c r="J236" i="4"/>
  <c r="K236" i="4" s="1"/>
  <c r="J235" i="4"/>
  <c r="K235" i="4" s="1"/>
  <c r="J234" i="4"/>
  <c r="K234" i="4" s="1"/>
  <c r="J233" i="4"/>
  <c r="K233" i="4" s="1"/>
  <c r="J232" i="4"/>
  <c r="K232" i="4" s="1"/>
  <c r="J231" i="4"/>
  <c r="K231" i="4" s="1"/>
  <c r="J230" i="4"/>
  <c r="K230" i="4" s="1"/>
  <c r="J229" i="4"/>
  <c r="K229" i="4" s="1"/>
  <c r="J228" i="4"/>
  <c r="K228" i="4" s="1"/>
  <c r="J227" i="4"/>
  <c r="K227" i="4" s="1"/>
  <c r="J226" i="4"/>
  <c r="K226" i="4" s="1"/>
  <c r="J225" i="4"/>
  <c r="K225" i="4" s="1"/>
  <c r="J224" i="4"/>
  <c r="K224" i="4" s="1"/>
  <c r="J223" i="4"/>
  <c r="K223" i="4" s="1"/>
  <c r="J222" i="4"/>
  <c r="K222" i="4" s="1"/>
  <c r="J221" i="4"/>
  <c r="K221" i="4" s="1"/>
  <c r="J220" i="4"/>
  <c r="K220" i="4" s="1"/>
  <c r="J219" i="4"/>
  <c r="K219" i="4" s="1"/>
  <c r="J218" i="4"/>
  <c r="K218" i="4" s="1"/>
  <c r="J217" i="4"/>
  <c r="K217" i="4" s="1"/>
  <c r="J216" i="4"/>
  <c r="K216" i="4" s="1"/>
  <c r="J215" i="4"/>
  <c r="K215" i="4" s="1"/>
  <c r="J214" i="4"/>
  <c r="K214" i="4" s="1"/>
  <c r="J213" i="4"/>
  <c r="K213" i="4" s="1"/>
  <c r="J212" i="4"/>
  <c r="K212" i="4" s="1"/>
  <c r="J211" i="4"/>
  <c r="K211" i="4" s="1"/>
  <c r="J210" i="4"/>
  <c r="K210" i="4" s="1"/>
  <c r="J209" i="4"/>
  <c r="K209" i="4" s="1"/>
  <c r="J208" i="4"/>
  <c r="K208" i="4" s="1"/>
  <c r="J207" i="4"/>
  <c r="K207" i="4" s="1"/>
  <c r="J206" i="4"/>
  <c r="K206" i="4" s="1"/>
  <c r="J205" i="4"/>
  <c r="K205" i="4" s="1"/>
  <c r="J204" i="4"/>
  <c r="K204" i="4" s="1"/>
  <c r="J203" i="4"/>
  <c r="K203" i="4" s="1"/>
  <c r="J202" i="4"/>
  <c r="K202" i="4" s="1"/>
  <c r="J201" i="4"/>
  <c r="K201" i="4" s="1"/>
  <c r="J200" i="4"/>
  <c r="K200" i="4" s="1"/>
  <c r="J199" i="4"/>
  <c r="K199" i="4" s="1"/>
  <c r="J198" i="4"/>
  <c r="K198" i="4" s="1"/>
  <c r="J197" i="4"/>
  <c r="K197" i="4" s="1"/>
  <c r="J196" i="4"/>
  <c r="K196" i="4" s="1"/>
  <c r="J195" i="4"/>
  <c r="K195" i="4" s="1"/>
  <c r="J194" i="4"/>
  <c r="K194" i="4" s="1"/>
  <c r="J193" i="4"/>
  <c r="K193" i="4" s="1"/>
  <c r="J192" i="4"/>
  <c r="K192" i="4" s="1"/>
  <c r="J191" i="4"/>
  <c r="K191" i="4" s="1"/>
  <c r="J190" i="4"/>
  <c r="K190" i="4" s="1"/>
  <c r="J189" i="4"/>
  <c r="K189" i="4" s="1"/>
  <c r="J188" i="4"/>
  <c r="K188" i="4" s="1"/>
  <c r="J187" i="4"/>
  <c r="K187" i="4" s="1"/>
  <c r="J186" i="4"/>
  <c r="K186" i="4" s="1"/>
  <c r="J185" i="4"/>
  <c r="K185" i="4" s="1"/>
  <c r="J184" i="4"/>
  <c r="K184" i="4" s="1"/>
  <c r="J183" i="4"/>
  <c r="K183" i="4" s="1"/>
  <c r="J182" i="4"/>
  <c r="K182" i="4" s="1"/>
  <c r="J181" i="4"/>
  <c r="K181" i="4" s="1"/>
  <c r="J180" i="4"/>
  <c r="K180" i="4" s="1"/>
  <c r="J179" i="4"/>
  <c r="K179" i="4" s="1"/>
  <c r="J178" i="4"/>
  <c r="K178" i="4" s="1"/>
  <c r="J177" i="4"/>
  <c r="K177" i="4" s="1"/>
  <c r="J176" i="4"/>
  <c r="K176" i="4" s="1"/>
  <c r="J175" i="4"/>
  <c r="K175" i="4" s="1"/>
  <c r="J174" i="4"/>
  <c r="K174" i="4" s="1"/>
  <c r="J173" i="4"/>
  <c r="K173" i="4" s="1"/>
  <c r="J172" i="4"/>
  <c r="K172" i="4" s="1"/>
  <c r="J171" i="4"/>
  <c r="K171" i="4" s="1"/>
  <c r="J170" i="4"/>
  <c r="K170" i="4" s="1"/>
  <c r="J169" i="4"/>
  <c r="K169" i="4" s="1"/>
  <c r="J168" i="4"/>
  <c r="K168" i="4" s="1"/>
  <c r="J167" i="4"/>
  <c r="K167" i="4" s="1"/>
  <c r="J166" i="4"/>
  <c r="K166" i="4" s="1"/>
  <c r="J165" i="4"/>
  <c r="K165" i="4" s="1"/>
  <c r="J164" i="4"/>
  <c r="K164" i="4" s="1"/>
  <c r="J163" i="4"/>
  <c r="K163" i="4" s="1"/>
  <c r="J162" i="4"/>
  <c r="K162" i="4" s="1"/>
  <c r="J161" i="4"/>
  <c r="K161" i="4" s="1"/>
  <c r="J160" i="4"/>
  <c r="K160" i="4" s="1"/>
  <c r="J159" i="4"/>
  <c r="K159" i="4" s="1"/>
  <c r="J158" i="4"/>
  <c r="K158" i="4" s="1"/>
  <c r="J157" i="4"/>
  <c r="K157" i="4" s="1"/>
  <c r="J156" i="4"/>
  <c r="K156" i="4" s="1"/>
  <c r="J155" i="4"/>
  <c r="K155" i="4" s="1"/>
  <c r="J154" i="4"/>
  <c r="K154" i="4" s="1"/>
  <c r="J153" i="4"/>
  <c r="K153" i="4" s="1"/>
  <c r="J152" i="4"/>
  <c r="K152" i="4" s="1"/>
  <c r="J151" i="4"/>
  <c r="K151" i="4" s="1"/>
  <c r="J150" i="4"/>
  <c r="K150" i="4" s="1"/>
  <c r="J149" i="4"/>
  <c r="K149" i="4" s="1"/>
  <c r="J148" i="4"/>
  <c r="K148" i="4" s="1"/>
  <c r="J147" i="4"/>
  <c r="K147" i="4" s="1"/>
  <c r="J146" i="4"/>
  <c r="K146" i="4" s="1"/>
  <c r="J145" i="4"/>
  <c r="K145" i="4" s="1"/>
  <c r="J144" i="4"/>
  <c r="K144" i="4" s="1"/>
  <c r="J143" i="4"/>
  <c r="K143" i="4" s="1"/>
  <c r="J142" i="4"/>
  <c r="K142" i="4" s="1"/>
  <c r="J141" i="4"/>
  <c r="K141" i="4" s="1"/>
  <c r="J140" i="4"/>
  <c r="K140" i="4" s="1"/>
  <c r="J139" i="4"/>
  <c r="K139" i="4" s="1"/>
  <c r="J138" i="4"/>
  <c r="K138" i="4" s="1"/>
  <c r="J137" i="4"/>
  <c r="K137" i="4" s="1"/>
  <c r="J136" i="4"/>
  <c r="K136" i="4" s="1"/>
  <c r="J135" i="4"/>
  <c r="K135" i="4" s="1"/>
  <c r="J134" i="4"/>
  <c r="K134" i="4" s="1"/>
  <c r="J133" i="4"/>
  <c r="K133" i="4" s="1"/>
  <c r="J132" i="4"/>
  <c r="K132" i="4" s="1"/>
  <c r="J131" i="4"/>
  <c r="K131" i="4" s="1"/>
  <c r="J130" i="4"/>
  <c r="K130" i="4" s="1"/>
  <c r="J129" i="4"/>
  <c r="K129" i="4" s="1"/>
  <c r="J128" i="4"/>
  <c r="K128" i="4" s="1"/>
  <c r="J127" i="4"/>
  <c r="K127" i="4" s="1"/>
  <c r="J126" i="4"/>
  <c r="K126" i="4" s="1"/>
  <c r="J125" i="4"/>
  <c r="K125" i="4" s="1"/>
  <c r="J124" i="4"/>
  <c r="K124" i="4" s="1"/>
  <c r="J123" i="4"/>
  <c r="K123" i="4" s="1"/>
  <c r="J122" i="4"/>
  <c r="K122" i="4" s="1"/>
  <c r="J121" i="4"/>
  <c r="K121" i="4" s="1"/>
  <c r="J120" i="4"/>
  <c r="K120" i="4" s="1"/>
  <c r="J119" i="4"/>
  <c r="K119" i="4" s="1"/>
  <c r="J118" i="4"/>
  <c r="K118" i="4" s="1"/>
  <c r="J117" i="4"/>
  <c r="K117" i="4" s="1"/>
  <c r="J116" i="4"/>
  <c r="K116" i="4" s="1"/>
  <c r="J115" i="4"/>
  <c r="K115" i="4" s="1"/>
  <c r="J114" i="4"/>
  <c r="K114" i="4" s="1"/>
  <c r="J113" i="4"/>
  <c r="K113" i="4" s="1"/>
  <c r="J112" i="4"/>
  <c r="K112" i="4" s="1"/>
  <c r="J111" i="4"/>
  <c r="K111" i="4" s="1"/>
  <c r="J110" i="4"/>
  <c r="K110" i="4" s="1"/>
  <c r="J109" i="4"/>
  <c r="K109" i="4" s="1"/>
  <c r="J108" i="4"/>
  <c r="K108" i="4" s="1"/>
  <c r="J107" i="4"/>
  <c r="K107" i="4" s="1"/>
  <c r="J106" i="4"/>
  <c r="K106" i="4" s="1"/>
  <c r="J105" i="4"/>
  <c r="K105" i="4" s="1"/>
  <c r="J104" i="4"/>
  <c r="K104" i="4" s="1"/>
  <c r="J103" i="4"/>
  <c r="K103" i="4" s="1"/>
  <c r="J102" i="4"/>
  <c r="K102" i="4" s="1"/>
  <c r="J101" i="4"/>
  <c r="K101" i="4" s="1"/>
  <c r="J100" i="4"/>
  <c r="K100" i="4" s="1"/>
  <c r="J99" i="4"/>
  <c r="K99" i="4" s="1"/>
  <c r="J98" i="4"/>
  <c r="K98" i="4" s="1"/>
  <c r="J97" i="4"/>
  <c r="K97" i="4" s="1"/>
  <c r="J96" i="4"/>
  <c r="K96" i="4" s="1"/>
  <c r="J95" i="4"/>
  <c r="K95" i="4" s="1"/>
  <c r="J94" i="4"/>
  <c r="K94" i="4" s="1"/>
  <c r="J93" i="4"/>
  <c r="K93" i="4" s="1"/>
  <c r="J92" i="4"/>
  <c r="K92" i="4" s="1"/>
  <c r="J91" i="4"/>
  <c r="K91" i="4" s="1"/>
  <c r="J90" i="4"/>
  <c r="K90" i="4" s="1"/>
  <c r="J89" i="4"/>
  <c r="K89" i="4" s="1"/>
  <c r="J88" i="4"/>
  <c r="K88" i="4" s="1"/>
  <c r="J87" i="4"/>
  <c r="K87" i="4" s="1"/>
  <c r="J86" i="4"/>
  <c r="K86" i="4" s="1"/>
  <c r="J85" i="4"/>
  <c r="K85" i="4" s="1"/>
  <c r="J84" i="4"/>
  <c r="K84" i="4" s="1"/>
  <c r="J83" i="4"/>
  <c r="K83" i="4" s="1"/>
  <c r="J82" i="4"/>
  <c r="K82" i="4" s="1"/>
  <c r="J81" i="4"/>
  <c r="K81" i="4" s="1"/>
  <c r="J80" i="4"/>
  <c r="K80" i="4" s="1"/>
  <c r="J79" i="4"/>
  <c r="K79" i="4" s="1"/>
  <c r="J78" i="4"/>
  <c r="K78" i="4" s="1"/>
  <c r="J77" i="4"/>
  <c r="K77" i="4" s="1"/>
  <c r="J76" i="4"/>
  <c r="K76" i="4" s="1"/>
  <c r="J75" i="4"/>
  <c r="K75" i="4" s="1"/>
  <c r="J74" i="4"/>
  <c r="K74" i="4" s="1"/>
  <c r="J73" i="4"/>
  <c r="K73" i="4" s="1"/>
  <c r="J72" i="4"/>
  <c r="K72" i="4" s="1"/>
  <c r="J71" i="4"/>
  <c r="K71" i="4" s="1"/>
  <c r="J70" i="4"/>
  <c r="K70" i="4" s="1"/>
  <c r="J69" i="4"/>
  <c r="K69" i="4" s="1"/>
  <c r="J68" i="4"/>
  <c r="K68" i="4" s="1"/>
  <c r="J67" i="4"/>
  <c r="K67" i="4" s="1"/>
  <c r="J66" i="4"/>
  <c r="K66" i="4" s="1"/>
  <c r="J65" i="4"/>
  <c r="K65" i="4" s="1"/>
  <c r="J64" i="4"/>
  <c r="K64" i="4" s="1"/>
  <c r="J63" i="4"/>
  <c r="K63" i="4" s="1"/>
  <c r="J62" i="4"/>
  <c r="K62" i="4" s="1"/>
  <c r="J61" i="4"/>
  <c r="K61" i="4" s="1"/>
  <c r="J60" i="4"/>
  <c r="K60" i="4" s="1"/>
  <c r="J59" i="4"/>
  <c r="K59" i="4" s="1"/>
  <c r="J58" i="4"/>
  <c r="K58" i="4" s="1"/>
  <c r="J57" i="4"/>
  <c r="K57" i="4" s="1"/>
  <c r="J56" i="4"/>
  <c r="K56" i="4" s="1"/>
  <c r="J55" i="4"/>
  <c r="K55" i="4" s="1"/>
  <c r="J54" i="4"/>
  <c r="K54" i="4" s="1"/>
  <c r="J53" i="4"/>
  <c r="K53" i="4" s="1"/>
  <c r="J52" i="4"/>
  <c r="K52" i="4" s="1"/>
  <c r="J51" i="4"/>
  <c r="K51" i="4" s="1"/>
  <c r="J50" i="4"/>
  <c r="K50" i="4" s="1"/>
  <c r="J49" i="4"/>
  <c r="K49" i="4" s="1"/>
  <c r="J48" i="4"/>
  <c r="K48" i="4" s="1"/>
  <c r="J47" i="4"/>
  <c r="K47" i="4" s="1"/>
  <c r="J46" i="4"/>
  <c r="K46" i="4" s="1"/>
  <c r="J45" i="4"/>
  <c r="K45" i="4" s="1"/>
  <c r="J44" i="4"/>
  <c r="K44" i="4" s="1"/>
  <c r="J43" i="4"/>
  <c r="K43" i="4" s="1"/>
  <c r="J42" i="4"/>
  <c r="K42" i="4" s="1"/>
  <c r="J41" i="4"/>
  <c r="K41" i="4" s="1"/>
  <c r="J40" i="4"/>
  <c r="K40" i="4" s="1"/>
  <c r="J39" i="4"/>
  <c r="K39" i="4" s="1"/>
  <c r="J38" i="4"/>
  <c r="K38" i="4" s="1"/>
  <c r="J37" i="4"/>
  <c r="K37" i="4" s="1"/>
  <c r="J36" i="4"/>
  <c r="K36" i="4" s="1"/>
  <c r="J35" i="4"/>
  <c r="K35" i="4" s="1"/>
  <c r="J34" i="4"/>
  <c r="K34" i="4" s="1"/>
  <c r="J33" i="4"/>
  <c r="K33" i="4" s="1"/>
  <c r="J32" i="4"/>
  <c r="K32" i="4" s="1"/>
  <c r="J31" i="4"/>
  <c r="K31" i="4" s="1"/>
  <c r="J30" i="4"/>
  <c r="K30" i="4" s="1"/>
  <c r="J29" i="4"/>
  <c r="K29" i="4" s="1"/>
  <c r="J28" i="4"/>
  <c r="K28" i="4" s="1"/>
  <c r="J27" i="4"/>
  <c r="K27" i="4" s="1"/>
  <c r="J26" i="4"/>
  <c r="K26" i="4" s="1"/>
  <c r="J25" i="4"/>
  <c r="K25" i="4" s="1"/>
  <c r="J24" i="4"/>
  <c r="K24" i="4" s="1"/>
  <c r="J23" i="4"/>
  <c r="K23" i="4" s="1"/>
  <c r="J22" i="4"/>
  <c r="K22" i="4" s="1"/>
  <c r="J21" i="4"/>
  <c r="K21" i="4" s="1"/>
  <c r="J20" i="4"/>
  <c r="K20" i="4" s="1"/>
  <c r="J19" i="4"/>
  <c r="K19" i="4" s="1"/>
  <c r="J18" i="4"/>
  <c r="K18" i="4" s="1"/>
  <c r="J17" i="4"/>
  <c r="K17" i="4" s="1"/>
  <c r="J16" i="4"/>
  <c r="K16" i="4" s="1"/>
  <c r="J15" i="4"/>
  <c r="K15" i="4" s="1"/>
  <c r="J14" i="4"/>
  <c r="K14" i="4" s="1"/>
  <c r="J13" i="4"/>
  <c r="K13" i="4" s="1"/>
  <c r="J12" i="4"/>
  <c r="K12" i="4" s="1"/>
  <c r="J312" i="4"/>
  <c r="K312" i="4" s="1"/>
  <c r="H312" i="4"/>
  <c r="I312" i="4" s="1"/>
  <c r="H311" i="4"/>
  <c r="I311" i="4" s="1"/>
  <c r="H310" i="4"/>
  <c r="I310" i="4" s="1"/>
  <c r="H309" i="4"/>
  <c r="I309" i="4" s="1"/>
  <c r="H308" i="4"/>
  <c r="I308" i="4" s="1"/>
  <c r="H306" i="4"/>
  <c r="I306" i="4" s="1"/>
  <c r="H305" i="4"/>
  <c r="I305" i="4" s="1"/>
  <c r="H304" i="4"/>
  <c r="I304" i="4" s="1"/>
  <c r="H303" i="4"/>
  <c r="I303" i="4" s="1"/>
  <c r="H302" i="4"/>
  <c r="I302" i="4" s="1"/>
  <c r="H301" i="4"/>
  <c r="I301" i="4" s="1"/>
  <c r="H300" i="4"/>
  <c r="I300" i="4" s="1"/>
  <c r="H299" i="4"/>
  <c r="I299" i="4" s="1"/>
  <c r="H298" i="4"/>
  <c r="I298" i="4" s="1"/>
  <c r="H297" i="4"/>
  <c r="I297" i="4" s="1"/>
  <c r="H296" i="4"/>
  <c r="I296" i="4" s="1"/>
  <c r="H295" i="4"/>
  <c r="I295" i="4" s="1"/>
  <c r="H294" i="4"/>
  <c r="I294" i="4" s="1"/>
  <c r="H293" i="4"/>
  <c r="I293" i="4" s="1"/>
  <c r="H292" i="4"/>
  <c r="I292" i="4" s="1"/>
  <c r="H291" i="4"/>
  <c r="I291" i="4" s="1"/>
  <c r="H290" i="4"/>
  <c r="I290" i="4" s="1"/>
  <c r="H289" i="4"/>
  <c r="I289" i="4" s="1"/>
  <c r="H288" i="4"/>
  <c r="I288" i="4" s="1"/>
  <c r="H287" i="4"/>
  <c r="I287" i="4" s="1"/>
  <c r="H286" i="4"/>
  <c r="I286" i="4" s="1"/>
  <c r="H285" i="4"/>
  <c r="I285" i="4" s="1"/>
  <c r="H284" i="4"/>
  <c r="I284" i="4" s="1"/>
  <c r="H283" i="4"/>
  <c r="I283" i="4" s="1"/>
  <c r="H282" i="4"/>
  <c r="I282" i="4" s="1"/>
  <c r="H281" i="4"/>
  <c r="I281" i="4" s="1"/>
  <c r="H280" i="4"/>
  <c r="I280" i="4" s="1"/>
  <c r="H279" i="4"/>
  <c r="I279" i="4" s="1"/>
  <c r="H278" i="4"/>
  <c r="I278" i="4" s="1"/>
  <c r="H277" i="4"/>
  <c r="I277" i="4" s="1"/>
  <c r="H276" i="4"/>
  <c r="I276" i="4" s="1"/>
  <c r="H275" i="4"/>
  <c r="I275" i="4" s="1"/>
  <c r="H274" i="4"/>
  <c r="I274" i="4" s="1"/>
  <c r="H273" i="4"/>
  <c r="I273" i="4" s="1"/>
  <c r="H272" i="4"/>
  <c r="I272" i="4" s="1"/>
  <c r="H271" i="4"/>
  <c r="I271" i="4" s="1"/>
  <c r="H270" i="4"/>
  <c r="I270" i="4" s="1"/>
  <c r="H269" i="4"/>
  <c r="I269" i="4" s="1"/>
  <c r="H268" i="4"/>
  <c r="I268" i="4" s="1"/>
  <c r="H267" i="4"/>
  <c r="I267" i="4" s="1"/>
  <c r="H266" i="4"/>
  <c r="I266" i="4" s="1"/>
  <c r="H265" i="4"/>
  <c r="I265" i="4" s="1"/>
  <c r="H264" i="4"/>
  <c r="I264" i="4" s="1"/>
  <c r="H263" i="4"/>
  <c r="I263" i="4" s="1"/>
  <c r="H262" i="4"/>
  <c r="I262" i="4" s="1"/>
  <c r="H261" i="4"/>
  <c r="I261" i="4" s="1"/>
  <c r="H260" i="4"/>
  <c r="I260" i="4" s="1"/>
  <c r="H259" i="4"/>
  <c r="I259" i="4" s="1"/>
  <c r="H258" i="4"/>
  <c r="I258" i="4" s="1"/>
  <c r="H257" i="4"/>
  <c r="I257" i="4" s="1"/>
  <c r="H256" i="4"/>
  <c r="I256" i="4" s="1"/>
  <c r="H255" i="4"/>
  <c r="I255" i="4" s="1"/>
  <c r="H254" i="4"/>
  <c r="I254" i="4" s="1"/>
  <c r="H253" i="4"/>
  <c r="I253" i="4" s="1"/>
  <c r="H252" i="4"/>
  <c r="I252" i="4" s="1"/>
  <c r="H251" i="4"/>
  <c r="I251" i="4" s="1"/>
  <c r="H250" i="4"/>
  <c r="I250" i="4" s="1"/>
  <c r="H249" i="4"/>
  <c r="I249" i="4" s="1"/>
  <c r="H248" i="4"/>
  <c r="I248" i="4" s="1"/>
  <c r="H247" i="4"/>
  <c r="I247" i="4" s="1"/>
  <c r="H246" i="4"/>
  <c r="I246" i="4" s="1"/>
  <c r="H245" i="4"/>
  <c r="I245" i="4" s="1"/>
  <c r="H244" i="4"/>
  <c r="I244" i="4" s="1"/>
  <c r="H243" i="4"/>
  <c r="I243" i="4" s="1"/>
  <c r="H242" i="4"/>
  <c r="I242" i="4" s="1"/>
  <c r="H241" i="4"/>
  <c r="I241" i="4" s="1"/>
  <c r="H240" i="4"/>
  <c r="I240" i="4" s="1"/>
  <c r="H239" i="4"/>
  <c r="I239" i="4" s="1"/>
  <c r="H238" i="4"/>
  <c r="I238" i="4" s="1"/>
  <c r="H237" i="4"/>
  <c r="I237" i="4" s="1"/>
  <c r="H236" i="4"/>
  <c r="I236" i="4" s="1"/>
  <c r="H235" i="4"/>
  <c r="I235" i="4" s="1"/>
  <c r="H234" i="4"/>
  <c r="I234" i="4" s="1"/>
  <c r="H233" i="4"/>
  <c r="I233" i="4" s="1"/>
  <c r="H232" i="4"/>
  <c r="I232" i="4" s="1"/>
  <c r="H231" i="4"/>
  <c r="I231" i="4" s="1"/>
  <c r="H230" i="4"/>
  <c r="I230" i="4" s="1"/>
  <c r="H229" i="4"/>
  <c r="I229" i="4" s="1"/>
  <c r="H228" i="4"/>
  <c r="I228" i="4" s="1"/>
  <c r="H227" i="4"/>
  <c r="I227" i="4" s="1"/>
  <c r="H226" i="4"/>
  <c r="I226" i="4" s="1"/>
  <c r="H225" i="4"/>
  <c r="I225" i="4" s="1"/>
  <c r="H224" i="4"/>
  <c r="I224" i="4" s="1"/>
  <c r="H223" i="4"/>
  <c r="I223" i="4" s="1"/>
  <c r="H222" i="4"/>
  <c r="I222" i="4" s="1"/>
  <c r="H221" i="4"/>
  <c r="I221" i="4" s="1"/>
  <c r="H220" i="4"/>
  <c r="I220" i="4" s="1"/>
  <c r="H219" i="4"/>
  <c r="I219" i="4" s="1"/>
  <c r="H218" i="4"/>
  <c r="I218" i="4" s="1"/>
  <c r="H217" i="4"/>
  <c r="I217" i="4" s="1"/>
  <c r="H216" i="4"/>
  <c r="I216" i="4" s="1"/>
  <c r="H215" i="4"/>
  <c r="I215" i="4" s="1"/>
  <c r="H214" i="4"/>
  <c r="I214" i="4" s="1"/>
  <c r="H213" i="4"/>
  <c r="I213" i="4" s="1"/>
  <c r="H212" i="4"/>
  <c r="I212" i="4" s="1"/>
  <c r="H211" i="4"/>
  <c r="I211" i="4" s="1"/>
  <c r="H210" i="4"/>
  <c r="I210" i="4" s="1"/>
  <c r="H209" i="4"/>
  <c r="I209" i="4" s="1"/>
  <c r="H208" i="4"/>
  <c r="I208" i="4" s="1"/>
  <c r="H207" i="4"/>
  <c r="I207" i="4" s="1"/>
  <c r="H206" i="4"/>
  <c r="I206" i="4" s="1"/>
  <c r="H205" i="4"/>
  <c r="I205" i="4" s="1"/>
  <c r="H204" i="4"/>
  <c r="I204" i="4" s="1"/>
  <c r="H203" i="4"/>
  <c r="I203" i="4" s="1"/>
  <c r="H202" i="4"/>
  <c r="I202" i="4" s="1"/>
  <c r="H201" i="4"/>
  <c r="I201" i="4" s="1"/>
  <c r="H200" i="4"/>
  <c r="I200" i="4" s="1"/>
  <c r="H199" i="4"/>
  <c r="I199" i="4" s="1"/>
  <c r="H198" i="4"/>
  <c r="I198" i="4" s="1"/>
  <c r="H197" i="4"/>
  <c r="I197" i="4" s="1"/>
  <c r="H196" i="4"/>
  <c r="I196" i="4" s="1"/>
  <c r="H195" i="4"/>
  <c r="I195" i="4" s="1"/>
  <c r="H194" i="4"/>
  <c r="I194" i="4" s="1"/>
  <c r="H193" i="4"/>
  <c r="I193" i="4" s="1"/>
  <c r="H192" i="4"/>
  <c r="I192" i="4" s="1"/>
  <c r="H191" i="4"/>
  <c r="I191" i="4" s="1"/>
  <c r="H190" i="4"/>
  <c r="I190" i="4" s="1"/>
  <c r="H189" i="4"/>
  <c r="I189" i="4" s="1"/>
  <c r="H188" i="4"/>
  <c r="I188" i="4" s="1"/>
  <c r="H187" i="4"/>
  <c r="I187" i="4" s="1"/>
  <c r="H186" i="4"/>
  <c r="I186" i="4" s="1"/>
  <c r="H185" i="4"/>
  <c r="I185" i="4" s="1"/>
  <c r="H184" i="4"/>
  <c r="I184" i="4" s="1"/>
  <c r="H183" i="4"/>
  <c r="I183" i="4" s="1"/>
  <c r="H182" i="4"/>
  <c r="I182" i="4" s="1"/>
  <c r="H181" i="4"/>
  <c r="I181" i="4" s="1"/>
  <c r="H180" i="4"/>
  <c r="I180" i="4" s="1"/>
  <c r="H179" i="4"/>
  <c r="I179" i="4" s="1"/>
  <c r="H178" i="4"/>
  <c r="I178" i="4" s="1"/>
  <c r="H177" i="4"/>
  <c r="I177" i="4" s="1"/>
  <c r="H176" i="4"/>
  <c r="I176" i="4" s="1"/>
  <c r="H175" i="4"/>
  <c r="I175" i="4" s="1"/>
  <c r="H174" i="4"/>
  <c r="I174" i="4" s="1"/>
  <c r="H173" i="4"/>
  <c r="I173" i="4" s="1"/>
  <c r="H172" i="4"/>
  <c r="I172" i="4" s="1"/>
  <c r="H171" i="4"/>
  <c r="I171" i="4" s="1"/>
  <c r="H170" i="4"/>
  <c r="I170" i="4" s="1"/>
  <c r="H169" i="4"/>
  <c r="I169" i="4" s="1"/>
  <c r="H168" i="4"/>
  <c r="I168" i="4" s="1"/>
  <c r="H167" i="4"/>
  <c r="I167" i="4" s="1"/>
  <c r="H166" i="4"/>
  <c r="I166" i="4" s="1"/>
  <c r="H165" i="4"/>
  <c r="I165" i="4" s="1"/>
  <c r="H164" i="4"/>
  <c r="I164" i="4" s="1"/>
  <c r="H163" i="4"/>
  <c r="I163" i="4" s="1"/>
  <c r="H162" i="4"/>
  <c r="I162" i="4" s="1"/>
  <c r="H161" i="4"/>
  <c r="I161" i="4" s="1"/>
  <c r="H160" i="4"/>
  <c r="I160" i="4" s="1"/>
  <c r="H159" i="4"/>
  <c r="I159" i="4" s="1"/>
  <c r="H158" i="4"/>
  <c r="I158" i="4" s="1"/>
  <c r="H157" i="4"/>
  <c r="I157" i="4" s="1"/>
  <c r="H156" i="4"/>
  <c r="I156" i="4" s="1"/>
  <c r="H155" i="4"/>
  <c r="I155" i="4" s="1"/>
  <c r="H154" i="4"/>
  <c r="I154" i="4" s="1"/>
  <c r="H153" i="4"/>
  <c r="I153" i="4" s="1"/>
  <c r="H152" i="4"/>
  <c r="I152" i="4" s="1"/>
  <c r="H151" i="4"/>
  <c r="I151" i="4" s="1"/>
  <c r="H150" i="4"/>
  <c r="I150" i="4" s="1"/>
  <c r="H149" i="4"/>
  <c r="I149" i="4" s="1"/>
  <c r="H148" i="4"/>
  <c r="I148" i="4" s="1"/>
  <c r="H147" i="4"/>
  <c r="I147" i="4" s="1"/>
  <c r="H146" i="4"/>
  <c r="I146" i="4" s="1"/>
  <c r="H145" i="4"/>
  <c r="I145" i="4" s="1"/>
  <c r="H144" i="4"/>
  <c r="I144" i="4" s="1"/>
  <c r="H143" i="4"/>
  <c r="I143" i="4" s="1"/>
  <c r="H142" i="4"/>
  <c r="I142" i="4" s="1"/>
  <c r="H141" i="4"/>
  <c r="I141" i="4" s="1"/>
  <c r="H140" i="4"/>
  <c r="I140" i="4" s="1"/>
  <c r="H139" i="4"/>
  <c r="I139" i="4" s="1"/>
  <c r="H138" i="4"/>
  <c r="I138" i="4" s="1"/>
  <c r="H137" i="4"/>
  <c r="I137" i="4" s="1"/>
  <c r="H136" i="4"/>
  <c r="I136" i="4" s="1"/>
  <c r="H135" i="4"/>
  <c r="I135" i="4" s="1"/>
  <c r="H134" i="4"/>
  <c r="I134" i="4" s="1"/>
  <c r="H133" i="4"/>
  <c r="I133" i="4" s="1"/>
  <c r="H132" i="4"/>
  <c r="I132" i="4" s="1"/>
  <c r="H131" i="4"/>
  <c r="I131" i="4" s="1"/>
  <c r="H130" i="4"/>
  <c r="I130" i="4" s="1"/>
  <c r="H129" i="4"/>
  <c r="I129" i="4" s="1"/>
  <c r="H128" i="4"/>
  <c r="I128" i="4" s="1"/>
  <c r="H127" i="4"/>
  <c r="I127" i="4" s="1"/>
  <c r="H126" i="4"/>
  <c r="I126" i="4" s="1"/>
  <c r="H125" i="4"/>
  <c r="I125" i="4" s="1"/>
  <c r="H124" i="4"/>
  <c r="I124" i="4" s="1"/>
  <c r="H123" i="4"/>
  <c r="I123" i="4" s="1"/>
  <c r="H122" i="4"/>
  <c r="I122" i="4" s="1"/>
  <c r="H121" i="4"/>
  <c r="I121" i="4" s="1"/>
  <c r="H120" i="4"/>
  <c r="I120" i="4" s="1"/>
  <c r="H119" i="4"/>
  <c r="I119" i="4" s="1"/>
  <c r="H118" i="4"/>
  <c r="I118" i="4" s="1"/>
  <c r="H117" i="4"/>
  <c r="I117" i="4" s="1"/>
  <c r="H116" i="4"/>
  <c r="I116" i="4" s="1"/>
  <c r="H115" i="4"/>
  <c r="I115" i="4" s="1"/>
  <c r="H114" i="4"/>
  <c r="I114" i="4" s="1"/>
  <c r="H113" i="4"/>
  <c r="I113" i="4" s="1"/>
  <c r="H112" i="4"/>
  <c r="I112" i="4" s="1"/>
  <c r="H111" i="4"/>
  <c r="I111" i="4" s="1"/>
  <c r="H110" i="4"/>
  <c r="I110" i="4" s="1"/>
  <c r="H109" i="4"/>
  <c r="I109" i="4" s="1"/>
  <c r="H108" i="4"/>
  <c r="I108" i="4" s="1"/>
  <c r="H107" i="4"/>
  <c r="I107" i="4" s="1"/>
  <c r="H106" i="4"/>
  <c r="I106" i="4" s="1"/>
  <c r="H105" i="4"/>
  <c r="I105" i="4" s="1"/>
  <c r="H104" i="4"/>
  <c r="I104" i="4" s="1"/>
  <c r="H103" i="4"/>
  <c r="I103" i="4" s="1"/>
  <c r="H102" i="4"/>
  <c r="I102" i="4" s="1"/>
  <c r="H101" i="4"/>
  <c r="I101" i="4" s="1"/>
  <c r="H100" i="4"/>
  <c r="I100" i="4" s="1"/>
  <c r="H99" i="4"/>
  <c r="I99" i="4" s="1"/>
  <c r="H98" i="4"/>
  <c r="I98" i="4" s="1"/>
  <c r="H97" i="4"/>
  <c r="I97" i="4" s="1"/>
  <c r="H96" i="4"/>
  <c r="I96" i="4" s="1"/>
  <c r="H95" i="4"/>
  <c r="I95" i="4" s="1"/>
  <c r="H94" i="4"/>
  <c r="I94" i="4" s="1"/>
  <c r="H93" i="4"/>
  <c r="I93" i="4" s="1"/>
  <c r="H92" i="4"/>
  <c r="I92" i="4" s="1"/>
  <c r="H91" i="4"/>
  <c r="I91" i="4" s="1"/>
  <c r="H90" i="4"/>
  <c r="I90" i="4" s="1"/>
  <c r="H89" i="4"/>
  <c r="I89" i="4" s="1"/>
  <c r="H88" i="4"/>
  <c r="I88" i="4" s="1"/>
  <c r="H87" i="4"/>
  <c r="I87" i="4" s="1"/>
  <c r="H86" i="4"/>
  <c r="I86" i="4" s="1"/>
  <c r="H85" i="4"/>
  <c r="I85" i="4" s="1"/>
  <c r="H84" i="4"/>
  <c r="I84" i="4" s="1"/>
  <c r="H83" i="4"/>
  <c r="I83" i="4" s="1"/>
  <c r="H82" i="4"/>
  <c r="I82" i="4" s="1"/>
  <c r="H81" i="4"/>
  <c r="I81" i="4" s="1"/>
  <c r="H80" i="4"/>
  <c r="I80" i="4" s="1"/>
  <c r="H79" i="4"/>
  <c r="I79" i="4" s="1"/>
  <c r="H78" i="4"/>
  <c r="I78" i="4" s="1"/>
  <c r="H77" i="4"/>
  <c r="I77" i="4" s="1"/>
  <c r="H76" i="4"/>
  <c r="I76" i="4" s="1"/>
  <c r="H75" i="4"/>
  <c r="I75" i="4" s="1"/>
  <c r="H74" i="4"/>
  <c r="I74" i="4" s="1"/>
  <c r="H73" i="4"/>
  <c r="I73" i="4" s="1"/>
  <c r="H72" i="4"/>
  <c r="I72" i="4" s="1"/>
  <c r="H71" i="4"/>
  <c r="I71" i="4" s="1"/>
  <c r="H70" i="4"/>
  <c r="I70" i="4" s="1"/>
  <c r="H69" i="4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7" i="4"/>
  <c r="I37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B5" i="4"/>
  <c r="F312" i="4"/>
  <c r="G312" i="4" s="1"/>
  <c r="F311" i="4"/>
  <c r="G311" i="4" s="1"/>
  <c r="F310" i="4"/>
  <c r="G310" i="4" s="1"/>
  <c r="F309" i="4"/>
  <c r="G309" i="4" s="1"/>
  <c r="F308" i="4"/>
  <c r="G308" i="4" s="1"/>
  <c r="F306" i="4"/>
  <c r="G306" i="4" s="1"/>
  <c r="F305" i="4"/>
  <c r="G305" i="4" s="1"/>
  <c r="F304" i="4"/>
  <c r="G304" i="4" s="1"/>
  <c r="F303" i="4"/>
  <c r="G303" i="4" s="1"/>
  <c r="F302" i="4"/>
  <c r="G302" i="4" s="1"/>
  <c r="F301" i="4"/>
  <c r="G301" i="4" s="1"/>
  <c r="F300" i="4"/>
  <c r="G300" i="4" s="1"/>
  <c r="F299" i="4"/>
  <c r="G299" i="4" s="1"/>
  <c r="F298" i="4"/>
  <c r="G298" i="4" s="1"/>
  <c r="F297" i="4"/>
  <c r="G297" i="4" s="1"/>
  <c r="F296" i="4"/>
  <c r="G296" i="4" s="1"/>
  <c r="F295" i="4"/>
  <c r="G295" i="4" s="1"/>
  <c r="F294" i="4"/>
  <c r="G294" i="4" s="1"/>
  <c r="F293" i="4"/>
  <c r="G293" i="4" s="1"/>
  <c r="F292" i="4"/>
  <c r="G292" i="4" s="1"/>
  <c r="F291" i="4"/>
  <c r="G291" i="4" s="1"/>
  <c r="F290" i="4"/>
  <c r="G290" i="4" s="1"/>
  <c r="F289" i="4"/>
  <c r="G289" i="4" s="1"/>
  <c r="F288" i="4"/>
  <c r="G288" i="4" s="1"/>
  <c r="F287" i="4"/>
  <c r="G287" i="4" s="1"/>
  <c r="F286" i="4"/>
  <c r="G286" i="4" s="1"/>
  <c r="F285" i="4"/>
  <c r="G285" i="4" s="1"/>
  <c r="F284" i="4"/>
  <c r="G284" i="4" s="1"/>
  <c r="F283" i="4"/>
  <c r="G283" i="4" s="1"/>
  <c r="F282" i="4"/>
  <c r="G282" i="4" s="1"/>
  <c r="F281" i="4"/>
  <c r="G281" i="4" s="1"/>
  <c r="F280" i="4"/>
  <c r="G280" i="4" s="1"/>
  <c r="F279" i="4"/>
  <c r="G279" i="4" s="1"/>
  <c r="F278" i="4"/>
  <c r="G278" i="4" s="1"/>
  <c r="F277" i="4"/>
  <c r="G277" i="4" s="1"/>
  <c r="F276" i="4"/>
  <c r="G276" i="4" s="1"/>
  <c r="F275" i="4"/>
  <c r="G275" i="4" s="1"/>
  <c r="F274" i="4"/>
  <c r="G274" i="4" s="1"/>
  <c r="F273" i="4"/>
  <c r="G273" i="4" s="1"/>
  <c r="F272" i="4"/>
  <c r="G272" i="4" s="1"/>
  <c r="F271" i="4"/>
  <c r="G271" i="4" s="1"/>
  <c r="F270" i="4"/>
  <c r="G270" i="4" s="1"/>
  <c r="F269" i="4"/>
  <c r="G269" i="4" s="1"/>
  <c r="F268" i="4"/>
  <c r="G268" i="4" s="1"/>
  <c r="F267" i="4"/>
  <c r="G267" i="4" s="1"/>
  <c r="F266" i="4"/>
  <c r="G266" i="4" s="1"/>
  <c r="F265" i="4"/>
  <c r="G265" i="4" s="1"/>
  <c r="F264" i="4"/>
  <c r="G264" i="4" s="1"/>
  <c r="F263" i="4"/>
  <c r="G263" i="4" s="1"/>
  <c r="F262" i="4"/>
  <c r="G262" i="4" s="1"/>
  <c r="F261" i="4"/>
  <c r="G261" i="4" s="1"/>
  <c r="F260" i="4"/>
  <c r="G260" i="4" s="1"/>
  <c r="F259" i="4"/>
  <c r="G259" i="4" s="1"/>
  <c r="F258" i="4"/>
  <c r="G258" i="4" s="1"/>
  <c r="F257" i="4"/>
  <c r="G257" i="4" s="1"/>
  <c r="F256" i="4"/>
  <c r="G256" i="4" s="1"/>
  <c r="F255" i="4"/>
  <c r="G255" i="4" s="1"/>
  <c r="F254" i="4"/>
  <c r="G254" i="4" s="1"/>
  <c r="F253" i="4"/>
  <c r="G253" i="4" s="1"/>
  <c r="F252" i="4"/>
  <c r="G252" i="4" s="1"/>
  <c r="F251" i="4"/>
  <c r="G251" i="4" s="1"/>
  <c r="F250" i="4"/>
  <c r="G250" i="4" s="1"/>
  <c r="F249" i="4"/>
  <c r="G249" i="4" s="1"/>
  <c r="F248" i="4"/>
  <c r="G248" i="4" s="1"/>
  <c r="F247" i="4"/>
  <c r="G247" i="4" s="1"/>
  <c r="F246" i="4"/>
  <c r="G246" i="4" s="1"/>
  <c r="F245" i="4"/>
  <c r="G245" i="4" s="1"/>
  <c r="F244" i="4"/>
  <c r="G244" i="4" s="1"/>
  <c r="F243" i="4"/>
  <c r="G243" i="4" s="1"/>
  <c r="F242" i="4"/>
  <c r="G242" i="4" s="1"/>
  <c r="F241" i="4"/>
  <c r="G241" i="4" s="1"/>
  <c r="F240" i="4"/>
  <c r="G240" i="4" s="1"/>
  <c r="F239" i="4"/>
  <c r="G239" i="4" s="1"/>
  <c r="F238" i="4"/>
  <c r="G238" i="4" s="1"/>
  <c r="F237" i="4"/>
  <c r="G237" i="4" s="1"/>
  <c r="F236" i="4"/>
  <c r="G236" i="4" s="1"/>
  <c r="F235" i="4"/>
  <c r="G235" i="4" s="1"/>
  <c r="F234" i="4"/>
  <c r="G234" i="4" s="1"/>
  <c r="F233" i="4"/>
  <c r="G233" i="4" s="1"/>
  <c r="F232" i="4"/>
  <c r="G232" i="4" s="1"/>
  <c r="F231" i="4"/>
  <c r="G231" i="4" s="1"/>
  <c r="F230" i="4"/>
  <c r="G230" i="4" s="1"/>
  <c r="F229" i="4"/>
  <c r="G229" i="4" s="1"/>
  <c r="F228" i="4"/>
  <c r="G228" i="4" s="1"/>
  <c r="F227" i="4"/>
  <c r="G227" i="4" s="1"/>
  <c r="F226" i="4"/>
  <c r="G226" i="4" s="1"/>
  <c r="F225" i="4"/>
  <c r="G225" i="4" s="1"/>
  <c r="F224" i="4"/>
  <c r="G224" i="4" s="1"/>
  <c r="F223" i="4"/>
  <c r="G223" i="4" s="1"/>
  <c r="F222" i="4"/>
  <c r="G222" i="4" s="1"/>
  <c r="F221" i="4"/>
  <c r="G221" i="4" s="1"/>
  <c r="F220" i="4"/>
  <c r="G220" i="4" s="1"/>
  <c r="F219" i="4"/>
  <c r="G219" i="4" s="1"/>
  <c r="F218" i="4"/>
  <c r="G218" i="4" s="1"/>
  <c r="F217" i="4"/>
  <c r="G217" i="4" s="1"/>
  <c r="F216" i="4"/>
  <c r="G216" i="4" s="1"/>
  <c r="F215" i="4"/>
  <c r="G215" i="4" s="1"/>
  <c r="F214" i="4"/>
  <c r="G214" i="4" s="1"/>
  <c r="F213" i="4"/>
  <c r="G213" i="4" s="1"/>
  <c r="F212" i="4"/>
  <c r="G212" i="4" s="1"/>
  <c r="F211" i="4"/>
  <c r="G211" i="4" s="1"/>
  <c r="F210" i="4"/>
  <c r="G210" i="4" s="1"/>
  <c r="F209" i="4"/>
  <c r="G209" i="4" s="1"/>
  <c r="F208" i="4"/>
  <c r="G208" i="4" s="1"/>
  <c r="F207" i="4"/>
  <c r="G207" i="4" s="1"/>
  <c r="F206" i="4"/>
  <c r="G206" i="4" s="1"/>
  <c r="F205" i="4"/>
  <c r="G205" i="4" s="1"/>
  <c r="F204" i="4"/>
  <c r="G204" i="4" s="1"/>
  <c r="F203" i="4"/>
  <c r="G203" i="4" s="1"/>
  <c r="F202" i="4"/>
  <c r="G202" i="4" s="1"/>
  <c r="F201" i="4"/>
  <c r="G201" i="4" s="1"/>
  <c r="F200" i="4"/>
  <c r="G200" i="4" s="1"/>
  <c r="F199" i="4"/>
  <c r="G199" i="4" s="1"/>
  <c r="F198" i="4"/>
  <c r="G198" i="4" s="1"/>
  <c r="F197" i="4"/>
  <c r="G197" i="4" s="1"/>
  <c r="F196" i="4"/>
  <c r="G196" i="4" s="1"/>
  <c r="F195" i="4"/>
  <c r="G195" i="4" s="1"/>
  <c r="F194" i="4"/>
  <c r="G194" i="4" s="1"/>
  <c r="F193" i="4"/>
  <c r="G193" i="4" s="1"/>
  <c r="F192" i="4"/>
  <c r="G192" i="4" s="1"/>
  <c r="F191" i="4"/>
  <c r="G191" i="4" s="1"/>
  <c r="F190" i="4"/>
  <c r="G190" i="4" s="1"/>
  <c r="F189" i="4"/>
  <c r="G189" i="4" s="1"/>
  <c r="F188" i="4"/>
  <c r="G188" i="4" s="1"/>
  <c r="F187" i="4"/>
  <c r="G187" i="4" s="1"/>
  <c r="F186" i="4"/>
  <c r="G186" i="4" s="1"/>
  <c r="F185" i="4"/>
  <c r="G185" i="4" s="1"/>
  <c r="F184" i="4"/>
  <c r="G184" i="4" s="1"/>
  <c r="F183" i="4"/>
  <c r="G183" i="4" s="1"/>
  <c r="F182" i="4"/>
  <c r="G182" i="4" s="1"/>
  <c r="F181" i="4"/>
  <c r="G181" i="4" s="1"/>
  <c r="F180" i="4"/>
  <c r="G180" i="4" s="1"/>
  <c r="F179" i="4"/>
  <c r="G179" i="4" s="1"/>
  <c r="F178" i="4"/>
  <c r="G178" i="4" s="1"/>
  <c r="F177" i="4"/>
  <c r="G177" i="4" s="1"/>
  <c r="F176" i="4"/>
  <c r="G176" i="4" s="1"/>
  <c r="F175" i="4"/>
  <c r="G175" i="4" s="1"/>
  <c r="F174" i="4"/>
  <c r="G174" i="4" s="1"/>
  <c r="F173" i="4"/>
  <c r="G173" i="4" s="1"/>
  <c r="F172" i="4"/>
  <c r="G172" i="4" s="1"/>
  <c r="F171" i="4"/>
  <c r="G171" i="4" s="1"/>
  <c r="F170" i="4"/>
  <c r="G170" i="4" s="1"/>
  <c r="F169" i="4"/>
  <c r="G169" i="4" s="1"/>
  <c r="F168" i="4"/>
  <c r="G168" i="4" s="1"/>
  <c r="F167" i="4"/>
  <c r="G167" i="4" s="1"/>
  <c r="F166" i="4"/>
  <c r="G166" i="4" s="1"/>
  <c r="F165" i="4"/>
  <c r="G165" i="4" s="1"/>
  <c r="F164" i="4"/>
  <c r="G164" i="4" s="1"/>
  <c r="F163" i="4"/>
  <c r="G163" i="4" s="1"/>
  <c r="F162" i="4"/>
  <c r="G162" i="4" s="1"/>
  <c r="F161" i="4"/>
  <c r="G161" i="4" s="1"/>
  <c r="F160" i="4"/>
  <c r="G160" i="4" s="1"/>
  <c r="F159" i="4"/>
  <c r="G159" i="4" s="1"/>
  <c r="F158" i="4"/>
  <c r="G158" i="4" s="1"/>
  <c r="F157" i="4"/>
  <c r="G157" i="4" s="1"/>
  <c r="F156" i="4"/>
  <c r="G156" i="4" s="1"/>
  <c r="F155" i="4"/>
  <c r="G155" i="4" s="1"/>
  <c r="F154" i="4"/>
  <c r="G154" i="4" s="1"/>
  <c r="F153" i="4"/>
  <c r="G153" i="4" s="1"/>
  <c r="F152" i="4"/>
  <c r="G152" i="4" s="1"/>
  <c r="F151" i="4"/>
  <c r="G151" i="4" s="1"/>
  <c r="F150" i="4"/>
  <c r="G150" i="4" s="1"/>
  <c r="F149" i="4"/>
  <c r="G149" i="4" s="1"/>
  <c r="F148" i="4"/>
  <c r="G148" i="4" s="1"/>
  <c r="F147" i="4"/>
  <c r="G147" i="4" s="1"/>
  <c r="F146" i="4"/>
  <c r="G146" i="4" s="1"/>
  <c r="F145" i="4"/>
  <c r="G145" i="4" s="1"/>
  <c r="F144" i="4"/>
  <c r="G144" i="4" s="1"/>
  <c r="F143" i="4"/>
  <c r="G143" i="4" s="1"/>
  <c r="F142" i="4"/>
  <c r="G142" i="4" s="1"/>
  <c r="F141" i="4"/>
  <c r="G141" i="4" s="1"/>
  <c r="F140" i="4"/>
  <c r="G140" i="4" s="1"/>
  <c r="F139" i="4"/>
  <c r="G139" i="4" s="1"/>
  <c r="F138" i="4"/>
  <c r="G138" i="4" s="1"/>
  <c r="F137" i="4"/>
  <c r="G137" i="4" s="1"/>
  <c r="F136" i="4"/>
  <c r="G136" i="4" s="1"/>
  <c r="F135" i="4"/>
  <c r="G135" i="4" s="1"/>
  <c r="F134" i="4"/>
  <c r="G134" i="4" s="1"/>
  <c r="F133" i="4"/>
  <c r="G133" i="4" s="1"/>
  <c r="F132" i="4"/>
  <c r="G132" i="4" s="1"/>
  <c r="F131" i="4"/>
  <c r="G131" i="4" s="1"/>
  <c r="F130" i="4"/>
  <c r="G130" i="4" s="1"/>
  <c r="F129" i="4"/>
  <c r="G129" i="4" s="1"/>
  <c r="F128" i="4"/>
  <c r="G128" i="4" s="1"/>
  <c r="F127" i="4"/>
  <c r="G127" i="4" s="1"/>
  <c r="F126" i="4"/>
  <c r="G126" i="4" s="1"/>
  <c r="F125" i="4"/>
  <c r="G125" i="4" s="1"/>
  <c r="F124" i="4"/>
  <c r="G124" i="4" s="1"/>
  <c r="F123" i="4"/>
  <c r="G123" i="4" s="1"/>
  <c r="F122" i="4"/>
  <c r="G122" i="4" s="1"/>
  <c r="F121" i="4"/>
  <c r="G121" i="4" s="1"/>
  <c r="F120" i="4"/>
  <c r="G120" i="4" s="1"/>
  <c r="F119" i="4"/>
  <c r="G119" i="4" s="1"/>
  <c r="F118" i="4"/>
  <c r="G118" i="4" s="1"/>
  <c r="F117" i="4"/>
  <c r="G117" i="4" s="1"/>
  <c r="F116" i="4"/>
  <c r="G116" i="4" s="1"/>
  <c r="F115" i="4"/>
  <c r="G115" i="4" s="1"/>
  <c r="F114" i="4"/>
  <c r="G114" i="4" s="1"/>
  <c r="F113" i="4"/>
  <c r="G113" i="4" s="1"/>
  <c r="F112" i="4"/>
  <c r="G112" i="4" s="1"/>
  <c r="F111" i="4"/>
  <c r="G111" i="4" s="1"/>
  <c r="F110" i="4"/>
  <c r="G110" i="4" s="1"/>
  <c r="F109" i="4"/>
  <c r="G109" i="4" s="1"/>
  <c r="F108" i="4"/>
  <c r="G108" i="4" s="1"/>
  <c r="F107" i="4"/>
  <c r="G107" i="4" s="1"/>
  <c r="F106" i="4"/>
  <c r="G106" i="4" s="1"/>
  <c r="F105" i="4"/>
  <c r="G105" i="4" s="1"/>
  <c r="F104" i="4"/>
  <c r="G104" i="4" s="1"/>
  <c r="F103" i="4"/>
  <c r="G103" i="4" s="1"/>
  <c r="F102" i="4"/>
  <c r="G102" i="4" s="1"/>
  <c r="F101" i="4"/>
  <c r="G101" i="4" s="1"/>
  <c r="F100" i="4"/>
  <c r="G100" i="4" s="1"/>
  <c r="F99" i="4"/>
  <c r="G99" i="4" s="1"/>
  <c r="F98" i="4"/>
  <c r="G98" i="4" s="1"/>
  <c r="F97" i="4"/>
  <c r="G97" i="4" s="1"/>
  <c r="F96" i="4"/>
  <c r="G96" i="4" s="1"/>
  <c r="F95" i="4"/>
  <c r="G95" i="4" s="1"/>
  <c r="F94" i="4"/>
  <c r="G94" i="4" s="1"/>
  <c r="F93" i="4"/>
  <c r="G93" i="4" s="1"/>
  <c r="F92" i="4"/>
  <c r="G92" i="4" s="1"/>
  <c r="F91" i="4"/>
  <c r="G91" i="4" s="1"/>
  <c r="F90" i="4"/>
  <c r="G90" i="4" s="1"/>
  <c r="F89" i="4"/>
  <c r="G89" i="4" s="1"/>
  <c r="F88" i="4"/>
  <c r="G88" i="4" s="1"/>
  <c r="F87" i="4"/>
  <c r="G87" i="4" s="1"/>
  <c r="F86" i="4"/>
  <c r="G86" i="4" s="1"/>
  <c r="F85" i="4"/>
  <c r="G85" i="4" s="1"/>
  <c r="F84" i="4"/>
  <c r="G84" i="4" s="1"/>
  <c r="F83" i="4"/>
  <c r="G83" i="4" s="1"/>
  <c r="F82" i="4"/>
  <c r="G82" i="4" s="1"/>
  <c r="F81" i="4"/>
  <c r="G81" i="4" s="1"/>
  <c r="F80" i="4"/>
  <c r="G80" i="4" s="1"/>
  <c r="F79" i="4"/>
  <c r="G79" i="4" s="1"/>
  <c r="F78" i="4"/>
  <c r="G78" i="4" s="1"/>
  <c r="F77" i="4"/>
  <c r="G77" i="4" s="1"/>
  <c r="F76" i="4"/>
  <c r="G76" i="4" s="1"/>
  <c r="F75" i="4"/>
  <c r="G75" i="4" s="1"/>
  <c r="F74" i="4"/>
  <c r="G74" i="4" s="1"/>
  <c r="F73" i="4"/>
  <c r="G73" i="4" s="1"/>
  <c r="F72" i="4"/>
  <c r="G72" i="4" s="1"/>
  <c r="F71" i="4"/>
  <c r="G71" i="4" s="1"/>
  <c r="F70" i="4"/>
  <c r="G70" i="4" s="1"/>
  <c r="F69" i="4"/>
  <c r="G69" i="4" s="1"/>
  <c r="F68" i="4"/>
  <c r="G68" i="4" s="1"/>
  <c r="F67" i="4"/>
  <c r="G67" i="4" s="1"/>
  <c r="F66" i="4"/>
  <c r="G66" i="4" s="1"/>
  <c r="F65" i="4"/>
  <c r="G65" i="4" s="1"/>
  <c r="F64" i="4"/>
  <c r="G64" i="4" s="1"/>
  <c r="F63" i="4"/>
  <c r="G63" i="4" s="1"/>
  <c r="F62" i="4"/>
  <c r="G62" i="4" s="1"/>
  <c r="F61" i="4"/>
  <c r="G61" i="4" s="1"/>
  <c r="F60" i="4"/>
  <c r="G60" i="4" s="1"/>
  <c r="F59" i="4"/>
  <c r="G59" i="4" s="1"/>
  <c r="F58" i="4"/>
  <c r="G58" i="4" s="1"/>
  <c r="F57" i="4"/>
  <c r="G57" i="4" s="1"/>
  <c r="F56" i="4"/>
  <c r="G56" i="4" s="1"/>
  <c r="F55" i="4"/>
  <c r="G55" i="4" s="1"/>
  <c r="F54" i="4"/>
  <c r="G54" i="4" s="1"/>
  <c r="F53" i="4"/>
  <c r="G53" i="4" s="1"/>
  <c r="F52" i="4"/>
  <c r="G52" i="4" s="1"/>
  <c r="F51" i="4"/>
  <c r="G51" i="4" s="1"/>
  <c r="F50" i="4"/>
  <c r="G50" i="4" s="1"/>
  <c r="F49" i="4"/>
  <c r="G49" i="4" s="1"/>
  <c r="F48" i="4"/>
  <c r="G48" i="4" s="1"/>
  <c r="F47" i="4"/>
  <c r="G47" i="4" s="1"/>
  <c r="F46" i="4"/>
  <c r="G46" i="4" s="1"/>
  <c r="F45" i="4"/>
  <c r="G45" i="4" s="1"/>
  <c r="F44" i="4"/>
  <c r="G44" i="4" s="1"/>
  <c r="F43" i="4"/>
  <c r="G43" i="4" s="1"/>
  <c r="F42" i="4"/>
  <c r="G42" i="4" s="1"/>
  <c r="F41" i="4"/>
  <c r="G41" i="4" s="1"/>
  <c r="F40" i="4"/>
  <c r="G40" i="4" s="1"/>
  <c r="F39" i="4"/>
  <c r="G39" i="4" s="1"/>
  <c r="F38" i="4"/>
  <c r="G38" i="4" s="1"/>
  <c r="F37" i="4"/>
  <c r="G37" i="4" s="1"/>
  <c r="F36" i="4"/>
  <c r="G36" i="4" s="1"/>
  <c r="F35" i="4"/>
  <c r="G35" i="4" s="1"/>
  <c r="F34" i="4"/>
  <c r="G34" i="4" s="1"/>
  <c r="F33" i="4"/>
  <c r="G33" i="4" s="1"/>
  <c r="F32" i="4"/>
  <c r="G32" i="4" s="1"/>
  <c r="F31" i="4"/>
  <c r="G31" i="4" s="1"/>
  <c r="F30" i="4"/>
  <c r="G30" i="4" s="1"/>
  <c r="F29" i="4"/>
  <c r="G29" i="4" s="1"/>
  <c r="F28" i="4"/>
  <c r="G28" i="4" s="1"/>
  <c r="F27" i="4"/>
  <c r="G27" i="4" s="1"/>
  <c r="F26" i="4"/>
  <c r="G26" i="4" s="1"/>
  <c r="F25" i="4"/>
  <c r="G25" i="4" s="1"/>
  <c r="F24" i="4"/>
  <c r="G24" i="4" s="1"/>
  <c r="F23" i="4"/>
  <c r="G23" i="4" s="1"/>
  <c r="F22" i="4"/>
  <c r="G22" i="4" s="1"/>
  <c r="F21" i="4"/>
  <c r="G21" i="4" s="1"/>
  <c r="F20" i="4"/>
  <c r="G20" i="4" s="1"/>
  <c r="F19" i="4"/>
  <c r="G19" i="4" s="1"/>
  <c r="F18" i="4"/>
  <c r="G18" i="4" s="1"/>
  <c r="F17" i="4"/>
  <c r="G17" i="4" s="1"/>
  <c r="F16" i="4"/>
  <c r="G16" i="4" s="1"/>
  <c r="F15" i="4"/>
  <c r="G15" i="4" s="1"/>
  <c r="F14" i="4"/>
  <c r="G14" i="4" s="1"/>
  <c r="F13" i="4"/>
  <c r="G13" i="4" s="1"/>
  <c r="F12" i="4"/>
  <c r="G12" i="4" s="1"/>
  <c r="K304" i="1"/>
  <c r="K303" i="1"/>
  <c r="K302" i="1"/>
  <c r="K301" i="1"/>
  <c r="F302" i="1"/>
  <c r="F303" i="1"/>
  <c r="F304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J3" i="2" l="1"/>
  <c r="J5" i="2" s="1"/>
  <c r="K3" i="2"/>
  <c r="K5" i="2" s="1"/>
  <c r="F3" i="2"/>
  <c r="I3" i="2"/>
  <c r="I5" i="2" s="1"/>
  <c r="H3" i="2"/>
  <c r="H5" i="2" s="1"/>
  <c r="G3" i="2"/>
  <c r="K2" i="2"/>
  <c r="G2" i="2"/>
  <c r="F2" i="2"/>
  <c r="J2" i="2"/>
  <c r="I2" i="2"/>
  <c r="H2" i="2"/>
  <c r="P2" i="4"/>
  <c r="P313" i="4" s="1"/>
  <c r="R2" i="4"/>
  <c r="R3" i="4"/>
  <c r="L2" i="4"/>
  <c r="L3" i="4"/>
  <c r="J3" i="4"/>
  <c r="J2" i="4"/>
  <c r="H3" i="4"/>
  <c r="H2" i="4"/>
  <c r="F3" i="4"/>
  <c r="F2" i="4"/>
  <c r="F313" i="4" s="1"/>
  <c r="J4" i="2" l="1"/>
  <c r="H312" i="2"/>
  <c r="H9" i="2" s="1"/>
  <c r="H6" i="2"/>
  <c r="H7" i="2" s="1"/>
  <c r="H8" i="2" s="1"/>
  <c r="I312" i="2"/>
  <c r="I9" i="2" s="1"/>
  <c r="I6" i="2"/>
  <c r="I7" i="2" s="1"/>
  <c r="I8" i="2" s="1"/>
  <c r="K312" i="2"/>
  <c r="K9" i="2" s="1"/>
  <c r="K6" i="2"/>
  <c r="K7" i="2" s="1"/>
  <c r="K8" i="2" s="1"/>
  <c r="J312" i="2"/>
  <c r="J9" i="2" s="1"/>
  <c r="J6" i="2"/>
  <c r="J7" i="2" s="1"/>
  <c r="J8" i="2" s="1"/>
  <c r="I4" i="2"/>
  <c r="N2" i="4"/>
  <c r="P5" i="4"/>
  <c r="Q313" i="4" s="1"/>
  <c r="P9" i="4" s="1"/>
  <c r="R4" i="4"/>
  <c r="R313" i="4"/>
  <c r="R5" i="4"/>
  <c r="P3" i="4"/>
  <c r="P4" i="4" s="1"/>
  <c r="L313" i="4"/>
  <c r="L5" i="4"/>
  <c r="J4" i="4"/>
  <c r="L4" i="4"/>
  <c r="J313" i="4"/>
  <c r="J5" i="4"/>
  <c r="J6" i="4" s="1"/>
  <c r="H313" i="4"/>
  <c r="H5" i="4"/>
  <c r="H4" i="4"/>
  <c r="F5" i="4"/>
  <c r="F4" i="4"/>
  <c r="K4" i="2"/>
  <c r="H4" i="2"/>
  <c r="N313" i="4" l="1"/>
  <c r="N5" i="4"/>
  <c r="P6" i="4"/>
  <c r="P7" i="4" s="1"/>
  <c r="P8" i="4" s="1"/>
  <c r="S313" i="4"/>
  <c r="R9" i="4" s="1"/>
  <c r="R6" i="4"/>
  <c r="R7" i="4" s="1"/>
  <c r="R8" i="4" s="1"/>
  <c r="M313" i="4"/>
  <c r="L9" i="4" s="1"/>
  <c r="L6" i="4"/>
  <c r="L7" i="4" s="1"/>
  <c r="L8" i="4" s="1"/>
  <c r="K313" i="4"/>
  <c r="J9" i="4" s="1"/>
  <c r="J7" i="4"/>
  <c r="J8" i="4" s="1"/>
  <c r="I313" i="4"/>
  <c r="H9" i="4" s="1"/>
  <c r="H6" i="4"/>
  <c r="H7" i="4" s="1"/>
  <c r="H8" i="4" s="1"/>
  <c r="F6" i="4"/>
  <c r="G313" i="4"/>
  <c r="F9" i="4" s="1"/>
  <c r="O313" i="4" l="1"/>
  <c r="F7" i="4"/>
  <c r="F8" i="4" s="1"/>
  <c r="G5" i="2" l="1"/>
  <c r="G4" i="2"/>
  <c r="G312" i="2" l="1"/>
  <c r="G9" i="2" s="1"/>
  <c r="G6" i="2"/>
  <c r="G7" i="2" s="1"/>
  <c r="G8" i="2" s="1"/>
  <c r="N9" i="4"/>
  <c r="N3" i="4"/>
  <c r="N4" i="4" s="1"/>
  <c r="N6" i="4" l="1"/>
  <c r="N7" i="4" s="1"/>
  <c r="N8" i="4" s="1"/>
  <c r="F5" i="2"/>
  <c r="F4" i="2"/>
  <c r="F6" i="2" l="1"/>
  <c r="F7" i="2" s="1"/>
  <c r="F8" i="2" s="1"/>
  <c r="F312" i="2"/>
  <c r="F9" i="2" s="1"/>
  <c r="L2" i="2"/>
  <c r="L4" i="2" l="1"/>
  <c r="L11" i="2"/>
  <c r="L5" i="2"/>
  <c r="L312" i="2" l="1"/>
  <c r="L9" i="2" s="1"/>
  <c r="L6" i="2"/>
  <c r="L7" i="2" s="1"/>
  <c r="L8" i="2" s="1"/>
  <c r="P4" i="8" l="1"/>
  <c r="U5" i="8" l="1"/>
  <c r="S5" i="8"/>
  <c r="V5" i="8" l="1"/>
  <c r="U6" i="8" s="1"/>
  <c r="T5" i="8"/>
  <c r="G4" i="8"/>
  <c r="H4" i="8" s="1"/>
  <c r="P5" i="8"/>
  <c r="G5" i="8" l="1"/>
  <c r="H5" i="8" s="1"/>
  <c r="P6" i="8"/>
  <c r="C26" i="8" l="1"/>
  <c r="I4" i="8" l="1"/>
  <c r="L4" i="8"/>
  <c r="S6" i="8"/>
  <c r="T6" i="8" l="1"/>
  <c r="V6" i="8"/>
  <c r="U7" i="8" s="1"/>
  <c r="I5" i="8"/>
  <c r="L5" i="8"/>
  <c r="P7" i="8" l="1"/>
  <c r="G6" i="8"/>
  <c r="H6" i="8" s="1"/>
  <c r="S7" i="8"/>
  <c r="T7" i="8" s="1"/>
  <c r="V7" i="8" l="1"/>
  <c r="U8" i="8" s="1"/>
  <c r="I6" i="8"/>
  <c r="L6" i="8"/>
  <c r="P8" i="8" l="1"/>
  <c r="G7" i="8"/>
  <c r="H7" i="8" s="1"/>
  <c r="S8" i="8"/>
  <c r="T8" i="8" s="1"/>
  <c r="V8" i="8" l="1"/>
  <c r="U9" i="8" s="1"/>
  <c r="I7" i="8"/>
  <c r="L7" i="8"/>
  <c r="P9" i="8" l="1"/>
  <c r="G8" i="8"/>
  <c r="H8" i="8" s="1"/>
  <c r="S9" i="8"/>
  <c r="T9" i="8" s="1"/>
  <c r="V9" i="8" l="1"/>
  <c r="U10" i="8" s="1"/>
  <c r="I8" i="8"/>
  <c r="L8" i="8"/>
  <c r="P10" i="8" l="1"/>
  <c r="G9" i="8"/>
  <c r="H9" i="8" s="1"/>
  <c r="S10" i="8"/>
  <c r="T10" i="8" s="1"/>
  <c r="V10" i="8" l="1"/>
  <c r="U11" i="8" s="1"/>
  <c r="I9" i="8"/>
  <c r="L9" i="8"/>
  <c r="P11" i="8" l="1"/>
  <c r="G10" i="8"/>
  <c r="H10" i="8" s="1"/>
  <c r="S11" i="8"/>
  <c r="T11" i="8" s="1"/>
  <c r="V11" i="8" l="1"/>
  <c r="U12" i="8" s="1"/>
  <c r="I10" i="8"/>
  <c r="L10" i="8"/>
  <c r="P12" i="8" l="1"/>
  <c r="G11" i="8"/>
  <c r="H11" i="8" s="1"/>
  <c r="S12" i="8"/>
  <c r="T12" i="8" s="1"/>
  <c r="V12" i="8" l="1"/>
  <c r="U13" i="8" s="1"/>
  <c r="I11" i="8"/>
  <c r="L11" i="8"/>
  <c r="P13" i="8" l="1"/>
  <c r="G12" i="8"/>
  <c r="H12" i="8" s="1"/>
  <c r="S13" i="8"/>
  <c r="T13" i="8" s="1"/>
  <c r="V13" i="8" l="1"/>
  <c r="U14" i="8" s="1"/>
  <c r="I12" i="8"/>
  <c r="L12" i="8"/>
  <c r="P14" i="8" l="1"/>
  <c r="G13" i="8"/>
  <c r="H13" i="8" s="1"/>
  <c r="S14" i="8"/>
  <c r="T14" i="8" s="1"/>
  <c r="V14" i="8" l="1"/>
  <c r="U15" i="8" s="1"/>
  <c r="I13" i="8"/>
  <c r="L13" i="8"/>
  <c r="P15" i="8" l="1"/>
  <c r="G14" i="8"/>
  <c r="H14" i="8" s="1"/>
  <c r="S15" i="8"/>
  <c r="T15" i="8" s="1"/>
  <c r="V15" i="8" l="1"/>
  <c r="U16" i="8" s="1"/>
  <c r="I14" i="8"/>
  <c r="L14" i="8"/>
  <c r="P16" i="8" l="1"/>
  <c r="G15" i="8"/>
  <c r="H15" i="8" s="1"/>
  <c r="S16" i="8"/>
  <c r="T16" i="8" s="1"/>
  <c r="V16" i="8" l="1"/>
  <c r="U17" i="8" s="1"/>
  <c r="I15" i="8"/>
  <c r="L15" i="8"/>
  <c r="P17" i="8" l="1"/>
  <c r="G16" i="8"/>
  <c r="H16" i="8" s="1"/>
  <c r="S17" i="8"/>
  <c r="T17" i="8" s="1"/>
  <c r="V17" i="8" l="1"/>
  <c r="U18" i="8" s="1"/>
  <c r="I16" i="8"/>
  <c r="L16" i="8"/>
  <c r="P18" i="8" l="1"/>
  <c r="G17" i="8"/>
  <c r="H17" i="8" s="1"/>
  <c r="S18" i="8"/>
  <c r="T18" i="8" s="1"/>
  <c r="V18" i="8" l="1"/>
  <c r="U19" i="8" s="1"/>
  <c r="I17" i="8"/>
  <c r="L17" i="8"/>
  <c r="P19" i="8" l="1"/>
  <c r="G18" i="8"/>
  <c r="H18" i="8" s="1"/>
  <c r="S19" i="8"/>
  <c r="T19" i="8" s="1"/>
  <c r="V19" i="8" l="1"/>
  <c r="U20" i="8" s="1"/>
  <c r="I18" i="8"/>
  <c r="L18" i="8"/>
  <c r="P20" i="8" l="1"/>
  <c r="G19" i="8"/>
  <c r="H19" i="8" s="1"/>
  <c r="S20" i="8"/>
  <c r="T20" i="8" s="1"/>
  <c r="V20" i="8" l="1"/>
  <c r="U21" i="8" s="1"/>
  <c r="I19" i="8"/>
  <c r="L19" i="8"/>
  <c r="P21" i="8" l="1"/>
  <c r="G20" i="8"/>
  <c r="H20" i="8" s="1"/>
  <c r="S21" i="8"/>
  <c r="T21" i="8" s="1"/>
  <c r="V21" i="8" l="1"/>
  <c r="U22" i="8" s="1"/>
  <c r="I20" i="8"/>
  <c r="L20" i="8"/>
  <c r="P22" i="8" l="1"/>
  <c r="G21" i="8"/>
  <c r="H21" i="8" s="1"/>
  <c r="S22" i="8"/>
  <c r="T22" i="8" s="1"/>
  <c r="V22" i="8" l="1"/>
  <c r="U23" i="8" s="1"/>
  <c r="I21" i="8"/>
  <c r="L21" i="8"/>
  <c r="P23" i="8" l="1"/>
  <c r="G22" i="8"/>
  <c r="H22" i="8" s="1"/>
  <c r="S23" i="8"/>
  <c r="T23" i="8" s="1"/>
  <c r="V23" i="8" l="1"/>
  <c r="U24" i="8" s="1"/>
  <c r="I22" i="8"/>
  <c r="L22" i="8"/>
  <c r="P24" i="8" l="1"/>
  <c r="G23" i="8"/>
  <c r="H23" i="8" s="1"/>
  <c r="S24" i="8"/>
  <c r="T24" i="8" s="1"/>
  <c r="V24" i="8" l="1"/>
  <c r="U25" i="8" s="1"/>
  <c r="I23" i="8"/>
  <c r="L23" i="8"/>
  <c r="P25" i="8" l="1"/>
  <c r="G24" i="8"/>
  <c r="H24" i="8" s="1"/>
  <c r="S25" i="8"/>
  <c r="T25" i="8" s="1"/>
  <c r="V25" i="8" l="1"/>
  <c r="U26" i="8" s="1"/>
  <c r="I24" i="8"/>
  <c r="L24" i="8"/>
  <c r="P26" i="8" l="1"/>
  <c r="G25" i="8"/>
  <c r="H25" i="8" s="1"/>
  <c r="S26" i="8"/>
  <c r="T26" i="8" s="1"/>
  <c r="V26" i="8" l="1"/>
  <c r="U27" i="8" s="1"/>
  <c r="I25" i="8"/>
  <c r="L25" i="8"/>
  <c r="P27" i="8" l="1"/>
  <c r="G26" i="8"/>
  <c r="H26" i="8" s="1"/>
  <c r="S27" i="8"/>
  <c r="T27" i="8" s="1"/>
  <c r="V27" i="8" l="1"/>
  <c r="U28" i="8" s="1"/>
  <c r="I26" i="8"/>
  <c r="L26" i="8"/>
  <c r="P28" i="8" l="1"/>
  <c r="G27" i="8"/>
  <c r="H27" i="8" s="1"/>
  <c r="S28" i="8"/>
  <c r="T28" i="8" s="1"/>
  <c r="V28" i="8" l="1"/>
  <c r="G28" i="8" s="1"/>
  <c r="H28" i="8" s="1"/>
  <c r="C30" i="8" s="1"/>
  <c r="I27" i="8"/>
  <c r="L27" i="8"/>
  <c r="C27" i="8" l="1"/>
  <c r="L28" i="8" l="1"/>
  <c r="C29" i="8"/>
  <c r="I28" i="8" l="1"/>
  <c r="C32" i="8" s="1"/>
  <c r="H3" i="8"/>
  <c r="C31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1" authorId="0" shapeId="0" xr:uid="{00000000-0006-0000-00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B3" authorId="0" shapeId="0" xr:uid="{00000000-0006-0000-00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設定可退休的生活費所需的倍數，建我值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。
依據歷史資訊</t>
        </r>
        <r>
          <rPr>
            <sz val="11"/>
            <color indexed="81"/>
            <rFont val="Tahoma"/>
            <family val="2"/>
          </rPr>
          <t>(2000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2008</t>
        </r>
        <r>
          <rPr>
            <sz val="11"/>
            <color indexed="81"/>
            <rFont val="細明體"/>
            <family val="3"/>
            <charset val="136"/>
          </rPr>
          <t>大股災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估算目標倍數可讓投資成長與生活費提領達到平衡，可做到永遠花不完，若屬保險性格可改為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，以對抗更大的股災。</t>
        </r>
      </text>
    </comment>
    <comment ref="B4" authorId="0" shapeId="0" xr:uid="{00000000-0006-0000-00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退休後所在生活地的通膨率，以台灣近十年約為</t>
        </r>
        <r>
          <rPr>
            <sz val="11"/>
            <color indexed="81"/>
            <rFont val="Tahoma"/>
            <family val="2"/>
          </rPr>
          <t>2~3%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5" authorId="0" shapeId="0" xr:uid="{00000000-0006-0000-00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$NTD144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如兩年生活費，能應急短期安心的金額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，緊急預備金與日常生活費不同，用於突發事件時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如重病或重大天災、人禍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需要之緊急資金，可將此資金先停泊於定存或短債中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無風險變現快的方式，多少可抗部分通膨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，需考慮分散以避免如股市休市、銀行休市期間無法即時變現。</t>
        </r>
      </text>
    </comment>
    <comment ref="B6" authorId="0" shapeId="0" xr:uid="{00000000-0006-0000-00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$NTD6</t>
        </r>
        <r>
          <rPr>
            <sz val="11"/>
            <color indexed="81"/>
            <rFont val="細明體"/>
            <family val="3"/>
            <charset val="136"/>
          </rPr>
          <t>萬，，設定退休後想要的生活水平，此為退休那年之每月金額數值，公式會逐年依通膨計算增加每月生活費，有固定月薪者保留一年、退休保留三年生活費，可將此資金分批停泊於定存或美短債中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無風險多少可抗通膨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生活費的資金來自於每年賣股票取得，此法在空頭年時有很大的風險，僅做回測目的使用，在實務上不建議採用。
</t>
        </r>
      </text>
    </comment>
    <comment ref="B7" authorId="0" shapeId="0" xr:uid="{00000000-0006-0000-00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8" authorId="0" shapeId="0" xr:uid="{00000000-0006-0000-00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11"/>
            <color indexed="81"/>
            <rFont val="細明體"/>
            <family val="3"/>
            <charset val="136"/>
          </rPr>
          <t>另外一種提領生活費的方式，</t>
        </r>
        <r>
          <rPr>
            <sz val="11"/>
            <color indexed="81"/>
            <rFont val="Tahoma"/>
            <family val="2"/>
          </rPr>
          <t>D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E</t>
        </r>
        <r>
          <rPr>
            <sz val="11"/>
            <color indexed="81"/>
            <rFont val="細明體"/>
            <family val="3"/>
            <charset val="136"/>
          </rPr>
          <t>項擇一使用，依據資產進行固定比率的提領，錢愈多可以花愈多，錢少時就降低花費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有可能沒錢花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，一般在足夠資產的狀況下以</t>
        </r>
        <r>
          <rPr>
            <sz val="11"/>
            <color indexed="81"/>
            <rFont val="Tahoma"/>
            <family val="2"/>
          </rPr>
          <t>4%</t>
        </r>
        <r>
          <rPr>
            <sz val="11"/>
            <color indexed="81"/>
            <rFont val="細明體"/>
            <family val="3"/>
            <charset val="136"/>
          </rPr>
          <t>為提領率，也就是業界常提及的</t>
        </r>
        <r>
          <rPr>
            <sz val="11"/>
            <color indexed="81"/>
            <rFont val="Tahoma"/>
            <family val="2"/>
          </rPr>
          <t>4%</t>
        </r>
        <r>
          <rPr>
            <sz val="11"/>
            <color indexed="81"/>
            <rFont val="細明體"/>
            <family val="3"/>
            <charset val="136"/>
          </rPr>
          <t>法則，此法用於較穩定報酬率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低標準差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之商品標的，不適用於</t>
        </r>
        <r>
          <rPr>
            <sz val="11"/>
            <color indexed="81"/>
            <rFont val="Tahoma"/>
            <family val="2"/>
          </rPr>
          <t>QQQ</t>
        </r>
        <r>
          <rPr>
            <sz val="11"/>
            <color indexed="81"/>
            <rFont val="細明體"/>
            <family val="3"/>
            <charset val="136"/>
          </rPr>
          <t>標準差很大的情況，經回測常有生活費不穩定的情況發生，也有人搭配大、小水庫的操作方法來解決此不穩定的問題。</t>
        </r>
      </text>
    </comment>
    <comment ref="B9" authorId="0" shapeId="0" xr:uid="{00000000-0006-0000-0000-000008000000}">
      <text>
        <r>
          <rPr>
            <b/>
            <sz val="11"/>
            <color indexed="81"/>
            <rFont val="細明體"/>
            <family val="3"/>
            <charset val="136"/>
          </rPr>
          <t>乘哥</t>
        </r>
        <r>
          <rPr>
            <b/>
            <sz val="11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= </t>
        </r>
        <r>
          <rPr>
            <sz val="11"/>
            <color indexed="81"/>
            <rFont val="細明體"/>
            <family val="3"/>
            <charset val="136"/>
          </rPr>
          <t>緊急預備金</t>
        </r>
        <r>
          <rPr>
            <sz val="11"/>
            <color indexed="81"/>
            <rFont val="Tahoma"/>
            <family val="2"/>
          </rPr>
          <t xml:space="preserve"> + </t>
        </r>
        <r>
          <rPr>
            <sz val="11"/>
            <color indexed="81"/>
            <rFont val="細明體"/>
            <family val="3"/>
            <charset val="136"/>
          </rPr>
          <t>目標倍數</t>
        </r>
        <r>
          <rPr>
            <sz val="11"/>
            <color indexed="81"/>
            <rFont val="Tahoma"/>
            <family val="2"/>
          </rPr>
          <t>*</t>
        </r>
        <r>
          <rPr>
            <sz val="11"/>
            <color indexed="81"/>
            <rFont val="細明體"/>
            <family val="3"/>
            <charset val="136"/>
          </rPr>
          <t>年生活費
當手上股市資產達到這個數值時就表示可以退休了。</t>
        </r>
      </text>
    </comment>
    <comment ref="A10" authorId="0" shapeId="0" xr:uid="{00000000-0006-0000-0000-00000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依</t>
        </r>
        <r>
          <rPr>
            <sz val="11"/>
            <color indexed="81"/>
            <rFont val="Tahoma"/>
            <family val="2"/>
          </rPr>
          <t>QQQ</t>
        </r>
        <r>
          <rPr>
            <sz val="11"/>
            <color indexed="81"/>
            <rFont val="細明體"/>
            <family val="3"/>
            <charset val="136"/>
          </rPr>
          <t>歷史回測之年化報酬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設為</t>
        </r>
        <r>
          <rPr>
            <sz val="11"/>
            <color indexed="81"/>
            <rFont val="Tahoma"/>
            <family val="2"/>
          </rPr>
          <t>12%</t>
        </r>
        <r>
          <rPr>
            <sz val="11"/>
            <color indexed="81"/>
            <rFont val="細明體"/>
            <family val="3"/>
            <charset val="136"/>
          </rPr>
          <t>。若每年之年化報酬</t>
        </r>
        <r>
          <rPr>
            <sz val="11"/>
            <color indexed="81"/>
            <rFont val="Tahoma"/>
            <family val="2"/>
          </rPr>
          <t>12%</t>
        </r>
        <r>
          <rPr>
            <sz val="11"/>
            <color indexed="81"/>
            <rFont val="細明體"/>
            <family val="3"/>
            <charset val="136"/>
          </rPr>
          <t>以上，因生活費遠低於報酬率，可簡單發現資產持續成長。</t>
        </r>
      </text>
    </comment>
    <comment ref="A11" authorId="0" shapeId="0" xr:uid="{00000000-0006-0000-0000-00000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可以依自己的收入估算幾歲可以達到上述目標資產的退休金額。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1" authorId="0" shapeId="0" xr:uid="{00000000-0006-0000-01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B3" authorId="0" shapeId="0" xr:uid="{00000000-0006-0000-01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設定可退休的生活費所需的倍數，建我值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。
依據歷史資訊</t>
        </r>
        <r>
          <rPr>
            <sz val="11"/>
            <color indexed="81"/>
            <rFont val="Tahoma"/>
            <family val="2"/>
          </rPr>
          <t>(2000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2008</t>
        </r>
        <r>
          <rPr>
            <sz val="11"/>
            <color indexed="81"/>
            <rFont val="細明體"/>
            <family val="3"/>
            <charset val="136"/>
          </rPr>
          <t>大股災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估算目標倍數可讓投資成長與生活費提領達到平衡，可做到永遠花不完，若屬保險性格可改為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，以對抗更大的股災。</t>
        </r>
      </text>
    </comment>
    <comment ref="B4" authorId="0" shapeId="0" xr:uid="{00000000-0006-0000-01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退休後所在生活地的通膨率，以台灣近十年約為</t>
        </r>
        <r>
          <rPr>
            <sz val="11"/>
            <color indexed="81"/>
            <rFont val="Tahoma"/>
            <family val="2"/>
          </rPr>
          <t>2~3%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5" authorId="0" shapeId="0" xr:uid="{00000000-0006-0000-01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$NTD144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如兩年生活費，能應急短期安心的金額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，緊急預備金與日常生活費不同，用於突發事件時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如重病或重大天災、人禍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需要之緊急資金，可將此資金先停泊於定存或短債中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無風險變現快的方式，多少可抗部分通膨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，需考慮分散以避免如股市休市、銀行休市期間無法即時變現。</t>
        </r>
      </text>
    </comment>
    <comment ref="B6" authorId="0" shapeId="0" xr:uid="{00000000-0006-0000-01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$NTD6</t>
        </r>
        <r>
          <rPr>
            <sz val="11"/>
            <color indexed="81"/>
            <rFont val="細明體"/>
            <family val="3"/>
            <charset val="136"/>
          </rPr>
          <t>萬，，設定退休後想要的生活水平，此為退休那年之每月金額數值，公式會逐年依通膨計算增加每月生活費，有固定月薪者保留一年、退休保留三年生活費，可將此資金分批停泊於定存或美短債中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無風險多少可抗通膨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生活費的資金來自於每年賣股票取得，此法在空頭年時有很大的風險，僅做回測目的使用，在實務上不建議採用。
</t>
        </r>
      </text>
    </comment>
    <comment ref="B7" authorId="0" shapeId="0" xr:uid="{00000000-0006-0000-01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8" authorId="0" shapeId="0" xr:uid="{00000000-0006-0000-01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11"/>
            <color indexed="81"/>
            <rFont val="細明體"/>
            <family val="3"/>
            <charset val="136"/>
          </rPr>
          <t>另外一種提領生活費的方式，</t>
        </r>
        <r>
          <rPr>
            <sz val="11"/>
            <color indexed="81"/>
            <rFont val="Tahoma"/>
            <family val="2"/>
          </rPr>
          <t>D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E</t>
        </r>
        <r>
          <rPr>
            <sz val="11"/>
            <color indexed="81"/>
            <rFont val="細明體"/>
            <family val="3"/>
            <charset val="136"/>
          </rPr>
          <t>項擇一使用，依據資產進行固定比率的提領，錢愈多可以花愈多，錢少時就降低花費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有可能沒錢花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，一般在足夠資產的狀況下以</t>
        </r>
        <r>
          <rPr>
            <sz val="11"/>
            <color indexed="81"/>
            <rFont val="Tahoma"/>
            <family val="2"/>
          </rPr>
          <t>4%</t>
        </r>
        <r>
          <rPr>
            <sz val="11"/>
            <color indexed="81"/>
            <rFont val="細明體"/>
            <family val="3"/>
            <charset val="136"/>
          </rPr>
          <t>為提領率，也就是業界常提及的</t>
        </r>
        <r>
          <rPr>
            <sz val="11"/>
            <color indexed="81"/>
            <rFont val="Tahoma"/>
            <family val="2"/>
          </rPr>
          <t>4%</t>
        </r>
        <r>
          <rPr>
            <sz val="11"/>
            <color indexed="81"/>
            <rFont val="細明體"/>
            <family val="3"/>
            <charset val="136"/>
          </rPr>
          <t>法則，此法用於較穩定報酬率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低標準差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之商品標的，不適用於</t>
        </r>
        <r>
          <rPr>
            <sz val="11"/>
            <color indexed="81"/>
            <rFont val="Tahoma"/>
            <family val="2"/>
          </rPr>
          <t>QQQ</t>
        </r>
        <r>
          <rPr>
            <sz val="11"/>
            <color indexed="81"/>
            <rFont val="細明體"/>
            <family val="3"/>
            <charset val="136"/>
          </rPr>
          <t>標準差很大的情況，經回測常有生活費不穩定的情況發生，也有人搭配大、小水庫的操作方法來解決此不穩定的問題。</t>
        </r>
      </text>
    </comment>
    <comment ref="B9" authorId="0" shapeId="0" xr:uid="{00000000-0006-0000-0100-000008000000}">
      <text>
        <r>
          <rPr>
            <b/>
            <sz val="11"/>
            <color indexed="81"/>
            <rFont val="細明體"/>
            <family val="3"/>
            <charset val="136"/>
          </rPr>
          <t>乘哥</t>
        </r>
        <r>
          <rPr>
            <b/>
            <sz val="11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= </t>
        </r>
        <r>
          <rPr>
            <sz val="11"/>
            <color indexed="81"/>
            <rFont val="細明體"/>
            <family val="3"/>
            <charset val="136"/>
          </rPr>
          <t>緊急預備金</t>
        </r>
        <r>
          <rPr>
            <sz val="11"/>
            <color indexed="81"/>
            <rFont val="Tahoma"/>
            <family val="2"/>
          </rPr>
          <t xml:space="preserve"> + </t>
        </r>
        <r>
          <rPr>
            <sz val="11"/>
            <color indexed="81"/>
            <rFont val="細明體"/>
            <family val="3"/>
            <charset val="136"/>
          </rPr>
          <t>目標倍數</t>
        </r>
        <r>
          <rPr>
            <sz val="11"/>
            <color indexed="81"/>
            <rFont val="Tahoma"/>
            <family val="2"/>
          </rPr>
          <t>*</t>
        </r>
        <r>
          <rPr>
            <sz val="11"/>
            <color indexed="81"/>
            <rFont val="細明體"/>
            <family val="3"/>
            <charset val="136"/>
          </rPr>
          <t>年生活費
當手上股市資產達到這個數值時就表示可以退休了。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B1" authorId="0" shapeId="0" xr:uid="{00000000-0006-0000-02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欄位底色有其意義，說明如下：
</t>
        </r>
        <r>
          <rPr>
            <sz val="11"/>
            <color indexed="81"/>
            <rFont val="Tahoma"/>
            <family val="2"/>
          </rPr>
          <t xml:space="preserve">A. </t>
        </r>
        <r>
          <rPr>
            <sz val="11"/>
            <color indexed="81"/>
            <rFont val="細明體"/>
            <family val="3"/>
            <charset val="136"/>
          </rPr>
          <t xml:space="preserve">黃底黑字：使用者可依實際情況進行輸入。
</t>
        </r>
        <r>
          <rPr>
            <sz val="11"/>
            <color indexed="81"/>
            <rFont val="Tahoma"/>
            <family val="2"/>
          </rPr>
          <t xml:space="preserve">B. </t>
        </r>
        <r>
          <rPr>
            <sz val="11"/>
            <color indexed="81"/>
            <rFont val="細明體"/>
            <family val="3"/>
            <charset val="136"/>
          </rPr>
          <t xml:space="preserve">粉紅色底：公式計算，不可變更內容。
</t>
        </r>
        <r>
          <rPr>
            <sz val="11"/>
            <color indexed="81"/>
            <rFont val="Tahoma"/>
            <family val="2"/>
          </rPr>
          <t xml:space="preserve">C. </t>
        </r>
        <r>
          <rPr>
            <sz val="11"/>
            <color indexed="81"/>
            <rFont val="細明體"/>
            <family val="3"/>
            <charset val="136"/>
          </rPr>
          <t>綠底綠字：負值，表示回測失敗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暴倉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 xml:space="preserve">D. </t>
        </r>
        <r>
          <rPr>
            <sz val="11"/>
            <color indexed="81"/>
            <rFont val="細明體"/>
            <family val="3"/>
            <charset val="136"/>
          </rPr>
          <t>黃底紅字：雖然不是負值，但資金低於基本生活費用所需</t>
        </r>
        <r>
          <rPr>
            <sz val="9"/>
            <color indexed="81"/>
            <rFont val="細明體"/>
            <family val="3"/>
            <charset val="136"/>
          </rPr>
          <t xml:space="preserve">。
</t>
        </r>
      </text>
    </comment>
    <comment ref="F2" authorId="0" shapeId="0" xr:uid="{00000000-0006-0000-02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於上年度年底借出做為今年一年的生活費。</t>
        </r>
      </text>
    </comment>
    <comment ref="G2" authorId="0" shapeId="0" xr:uid="{E4EB75BE-10AB-4329-B914-B5BD81F3C3B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年底結算市值。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H2" authorId="0" shapeId="0" xr:uid="{00000000-0006-0000-02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(G)</t>
        </r>
        <r>
          <rPr>
            <sz val="9"/>
            <color indexed="81"/>
            <rFont val="細明體"/>
            <family val="3"/>
            <charset val="136"/>
          </rPr>
          <t>年度市值</t>
        </r>
        <r>
          <rPr>
            <sz val="9"/>
            <color indexed="81"/>
            <rFont val="Tahoma"/>
            <family val="2"/>
          </rPr>
          <t xml:space="preserve"> - (K)</t>
        </r>
        <r>
          <rPr>
            <sz val="9"/>
            <color indexed="81"/>
            <rFont val="細明體"/>
            <family val="3"/>
            <charset val="136"/>
          </rPr>
          <t>累計質押借款</t>
        </r>
      </text>
    </comment>
    <comment ref="I2" authorId="0" shapeId="0" xr:uid="{8DC5DC22-1B40-4036-8B91-B12946414F04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用以計算總獲利的結餘，即
</t>
        </r>
        <r>
          <rPr>
            <sz val="9"/>
            <color indexed="81"/>
            <rFont val="Tahoma"/>
            <family val="2"/>
          </rPr>
          <t>= (H)</t>
        </r>
        <r>
          <rPr>
            <sz val="9"/>
            <color indexed="81"/>
            <rFont val="細明體"/>
            <family val="3"/>
            <charset val="136"/>
          </rPr>
          <t>結餘</t>
        </r>
        <r>
          <rPr>
            <sz val="9"/>
            <color indexed="81"/>
            <rFont val="Tahoma"/>
            <family val="2"/>
          </rPr>
          <t xml:space="preserve"> + (F)</t>
        </r>
        <r>
          <rPr>
            <sz val="9"/>
            <color indexed="81"/>
            <rFont val="細明體"/>
            <family val="3"/>
            <charset val="136"/>
          </rPr>
          <t xml:space="preserve">已提領的部分
</t>
        </r>
      </text>
    </comment>
    <comment ref="J2" authorId="0" shapeId="0" xr:uid="{90E7B68B-4199-4B2A-BF87-99599EF3728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(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細明體"/>
            <family val="3"/>
            <charset val="136"/>
          </rPr>
          <t>當年度新借款</t>
        </r>
        <r>
          <rPr>
            <sz val="9"/>
            <color indexed="81"/>
            <rFont val="Tahoma"/>
            <family val="2"/>
          </rPr>
          <t xml:space="preserve">) * </t>
        </r>
        <r>
          <rPr>
            <sz val="9"/>
            <color indexed="81"/>
            <rFont val="細明體"/>
            <family val="3"/>
            <charset val="136"/>
          </rPr>
          <t>質押利率</t>
        </r>
      </text>
    </comment>
    <comment ref="K2" authorId="0" shapeId="0" xr:uid="{9800C5EF-E541-4E15-8961-0B8141472AB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當年度借款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細明體"/>
            <family val="3"/>
            <charset val="136"/>
          </rPr>
          <t>當年度利息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L2" authorId="0" shapeId="0" xr:uid="{29B83D86-C6A0-48D8-9B98-96F2C2FC3702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= </t>
        </r>
        <r>
          <rPr>
            <sz val="9"/>
            <color indexed="81"/>
            <rFont val="細明體"/>
            <family val="3"/>
            <charset val="136"/>
          </rPr>
          <t>市值</t>
        </r>
        <r>
          <rPr>
            <sz val="9"/>
            <color indexed="81"/>
            <rFont val="Tahoma"/>
            <family val="2"/>
          </rPr>
          <t xml:space="preserve"> /  </t>
        </r>
        <r>
          <rPr>
            <sz val="9"/>
            <color indexed="81"/>
            <rFont val="細明體"/>
            <family val="3"/>
            <charset val="136"/>
          </rPr>
          <t>累計借款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M2" authorId="0" shapeId="0" xr:uid="{D0D7165D-08D3-48D4-8841-DA1074F4F293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當年度的漲跌</t>
        </r>
        <r>
          <rPr>
            <sz val="9"/>
            <color indexed="81"/>
            <rFont val="Tahoma"/>
            <family val="2"/>
          </rPr>
          <t xml:space="preserve"> %
= (</t>
        </r>
        <r>
          <rPr>
            <sz val="9"/>
            <color indexed="81"/>
            <rFont val="細明體"/>
            <family val="3"/>
            <charset val="136"/>
          </rPr>
          <t>今年底收盤價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) /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 * 100%</t>
        </r>
      </text>
    </comment>
    <comment ref="N2" authorId="0" shapeId="0" xr:uid="{E00C41D9-4B5F-488A-8088-839035EFDC52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當年度年底收盤價</t>
        </r>
      </text>
    </comment>
    <comment ref="O2" authorId="0" shapeId="0" xr:uid="{568B6886-8496-4570-B700-1D43133D1EB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–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若生活費來自賣股</t>
        </r>
        <r>
          <rPr>
            <sz val="9"/>
            <color indexed="81"/>
            <rFont val="Tahoma"/>
            <family val="2"/>
          </rPr>
          <t xml:space="preserve">)
= </t>
        </r>
        <r>
          <rPr>
            <sz val="9"/>
            <color indexed="81"/>
            <rFont val="細明體"/>
            <family val="3"/>
            <charset val="136"/>
          </rPr>
          <t>收盤價</t>
        </r>
        <r>
          <rPr>
            <sz val="9"/>
            <color indexed="81"/>
            <rFont val="Tahoma"/>
            <family val="2"/>
          </rPr>
          <t xml:space="preserve"> * (1+</t>
        </r>
        <r>
          <rPr>
            <sz val="9"/>
            <color indexed="81"/>
            <rFont val="細明體"/>
            <family val="3"/>
            <charset val="136"/>
          </rPr>
          <t>漲跌</t>
        </r>
        <r>
          <rPr>
            <sz val="9"/>
            <color indexed="81"/>
            <rFont val="Tahoma"/>
            <family val="2"/>
          </rPr>
          <t xml:space="preserve">%) </t>
        </r>
        <r>
          <rPr>
            <sz val="9"/>
            <color indexed="81"/>
            <rFont val="細明體"/>
            <family val="3"/>
            <charset val="136"/>
          </rPr>
          <t>–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年生活費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細明體"/>
            <family val="3"/>
            <charset val="136"/>
          </rPr>
          <t>若賣股過生活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P2" authorId="0" shapeId="0" xr:uid="{7B985541-E893-488B-AFE1-A45425DA4837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Q2" authorId="0" shapeId="0" xr:uid="{B46DB13C-CCFF-49D8-8DD9-7E1DF914689B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當年度的漲跌</t>
        </r>
        <r>
          <rPr>
            <sz val="9"/>
            <color indexed="81"/>
            <rFont val="Tahoma"/>
            <family val="2"/>
          </rPr>
          <t xml:space="preserve"> %
= (</t>
        </r>
        <r>
          <rPr>
            <sz val="9"/>
            <color indexed="81"/>
            <rFont val="細明體"/>
            <family val="3"/>
            <charset val="136"/>
          </rPr>
          <t>今年底收盤價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) / </t>
        </r>
        <r>
          <rPr>
            <sz val="9"/>
            <color indexed="81"/>
            <rFont val="細明體"/>
            <family val="3"/>
            <charset val="136"/>
          </rPr>
          <t>去年底收盤價</t>
        </r>
        <r>
          <rPr>
            <sz val="9"/>
            <color indexed="81"/>
            <rFont val="Tahoma"/>
            <family val="2"/>
          </rPr>
          <t xml:space="preserve"> * 100%</t>
        </r>
      </text>
    </comment>
    <comment ref="R2" authorId="0" shapeId="0" xr:uid="{53323E07-08B0-474B-AFE3-7EDEFB76ED13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當年度年底收盤價</t>
        </r>
      </text>
    </comment>
    <comment ref="S2" authorId="0" shapeId="0" xr:uid="{2B9265A9-9651-496A-8472-CC5D8CF2AF6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</t>
        </r>
      </text>
    </comment>
    <comment ref="T2" authorId="0" shapeId="0" xr:uid="{E2E486FD-34B9-4621-8521-AD2EB8F8810B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U2" authorId="0" shapeId="0" xr:uid="{9417A07F-B554-4020-ADBA-D0A19754745C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當年年底市值，不考慮定存或以短債方式產生的利息。</t>
        </r>
      </text>
    </comment>
    <comment ref="V2" authorId="0" shapeId="0" xr:uid="{DA4C6EB0-16E4-4AC9-9FE2-DB92DEBB73A1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參考左側⑤再平衡之說明。</t>
        </r>
      </text>
    </comment>
    <comment ref="B3" authorId="0" shapeId="0" xr:uid="{00000000-0006-0000-02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退休後所在生活地的通膨率，以台灣近十年約為</t>
        </r>
        <r>
          <rPr>
            <sz val="11"/>
            <color indexed="81"/>
            <rFont val="Tahoma"/>
            <family val="2"/>
          </rPr>
          <t>2~3%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4" authorId="0" shapeId="0" xr:uid="{00000000-0006-0000-02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$NTD144</t>
        </r>
        <r>
          <rPr>
            <sz val="11"/>
            <color indexed="81"/>
            <rFont val="細明體"/>
            <family val="3"/>
            <charset val="136"/>
          </rPr>
          <t>萬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如兩年生活費，能應急短期安心的金額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，緊急預備金與日常生活費不同，用於突發事件時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如重病或重大天災、人禍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需要之緊急資金，可將此資金先停泊於定存或短債中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無風險變現快的方式，多少可抗部分通膨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，需考慮分散以避免如股市休市、銀行休市期間無法即時變現。</t>
        </r>
      </text>
    </comment>
    <comment ref="B5" authorId="0" shapeId="0" xr:uid="{00000000-0006-0000-02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預設為</t>
        </r>
        <r>
          <rPr>
            <sz val="11"/>
            <color indexed="81"/>
            <rFont val="Tahoma"/>
            <family val="2"/>
          </rPr>
          <t>$NTD6</t>
        </r>
        <r>
          <rPr>
            <sz val="11"/>
            <color indexed="81"/>
            <rFont val="細明體"/>
            <family val="3"/>
            <charset val="136"/>
          </rPr>
          <t>萬，設定退休後想要的生活水平，此為退休那年之每月金額數值，公式會逐年依通膨計算增加每月生活費，有固定月薪者保留一年、退休保留三年生活費，可將此資金分批停泊於定存或美短債中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無風險多少可抗通膨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生活費的資金來自於每年賣股票取得，此法在空頭年時有很大的風險，僅做回測目的使用，在實務上不建議採用。
</t>
        </r>
      </text>
    </comment>
    <comment ref="B6" authorId="0" shapeId="0" xr:uid="{00000000-0006-0000-0200-00000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若採月領制輸入每月可領的勞工退休金與勞保老年給付的總額。</t>
        </r>
      </text>
    </comment>
    <comment ref="B7" authorId="0" shapeId="0" xr:uid="{00000000-0006-0000-0200-00000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若有收入，如薪資、房屋租金、稿費‥等。
若不固定需取其每月平均數。</t>
        </r>
      </text>
    </comment>
    <comment ref="B8" authorId="0" shapeId="0" xr:uid="{00000000-0006-0000-0200-00000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需要由資產配置中提領的金額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質押或現金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做為生活費之用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- </t>
        </r>
        <r>
          <rPr>
            <sz val="11"/>
            <color indexed="81"/>
            <rFont val="細明體"/>
            <family val="3"/>
            <charset val="136"/>
          </rPr>
          <t>月勞退金</t>
        </r>
        <r>
          <rPr>
            <sz val="11"/>
            <color indexed="81"/>
            <rFont val="Tahoma"/>
            <family val="2"/>
          </rPr>
          <t xml:space="preserve"> - </t>
        </r>
        <r>
          <rPr>
            <sz val="11"/>
            <color indexed="81"/>
            <rFont val="細明體"/>
            <family val="3"/>
            <charset val="136"/>
          </rPr>
          <t>其他收入，若為負值時設為</t>
        </r>
        <r>
          <rPr>
            <sz val="11"/>
            <color indexed="81"/>
            <rFont val="Tahoma"/>
            <family val="2"/>
          </rPr>
          <t>0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</text>
    </comment>
    <comment ref="B9" authorId="0" shapeId="0" xr:uid="{00000000-0006-0000-0200-00000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月生活費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10" authorId="0" shapeId="0" xr:uid="{00000000-0006-0000-0200-00000B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每年的淨提領金金額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月淨提領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11" authorId="0" shapeId="0" xr:uid="{00000000-0006-0000-0200-00000C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年淨提領所佔目標資產的比率。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年淨提領</t>
        </r>
        <r>
          <rPr>
            <sz val="11"/>
            <color indexed="81"/>
            <rFont val="Tahoma"/>
            <family val="2"/>
          </rPr>
          <t xml:space="preserve">/ </t>
        </r>
        <r>
          <rPr>
            <sz val="11"/>
            <color indexed="81"/>
            <rFont val="細明體"/>
            <family val="3"/>
            <charset val="136"/>
          </rPr>
          <t>投資資產</t>
        </r>
      </text>
    </comment>
    <comment ref="B12" authorId="0" shapeId="0" xr:uid="{00000000-0006-0000-0200-00000D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設定可退休的生活費所需的倍數，建我值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。
依據歷史資訊</t>
        </r>
        <r>
          <rPr>
            <sz val="11"/>
            <color indexed="81"/>
            <rFont val="Tahoma"/>
            <family val="2"/>
          </rPr>
          <t>(2000</t>
        </r>
        <r>
          <rPr>
            <sz val="11"/>
            <color indexed="81"/>
            <rFont val="細明體"/>
            <family val="3"/>
            <charset val="136"/>
          </rPr>
          <t>、</t>
        </r>
        <r>
          <rPr>
            <sz val="11"/>
            <color indexed="81"/>
            <rFont val="Tahoma"/>
            <family val="2"/>
          </rPr>
          <t>2008</t>
        </r>
        <r>
          <rPr>
            <sz val="11"/>
            <color indexed="81"/>
            <rFont val="細明體"/>
            <family val="3"/>
            <charset val="136"/>
          </rPr>
          <t>大股災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>估算目標倍數可讓投資成長與生活費提領達到平衡，可做到永遠花不完，若屬保險性格可改為</t>
        </r>
        <r>
          <rPr>
            <sz val="11"/>
            <color indexed="81"/>
            <rFont val="Tahoma"/>
            <family val="2"/>
          </rPr>
          <t xml:space="preserve"> 50</t>
        </r>
        <r>
          <rPr>
            <sz val="11"/>
            <color indexed="81"/>
            <rFont val="細明體"/>
            <family val="3"/>
            <charset val="136"/>
          </rPr>
          <t>，以對抗更大的股災。</t>
        </r>
      </text>
    </comment>
    <comment ref="B13" authorId="0" shapeId="0" xr:uid="{00000000-0006-0000-0200-00000E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需投入之退休時初期金額</t>
        </r>
        <r>
          <rPr>
            <sz val="11"/>
            <color indexed="81"/>
            <rFont val="Tahoma"/>
            <family val="2"/>
          </rPr>
          <t xml:space="preserve">
= </t>
        </r>
        <r>
          <rPr>
            <sz val="11"/>
            <color indexed="81"/>
            <rFont val="細明體"/>
            <family val="3"/>
            <charset val="136"/>
          </rPr>
          <t>年淨提領</t>
        </r>
        <r>
          <rPr>
            <sz val="11"/>
            <color indexed="81"/>
            <rFont val="Tahoma"/>
            <family val="2"/>
          </rPr>
          <t xml:space="preserve"> * 12</t>
        </r>
      </text>
    </comment>
    <comment ref="B14" authorId="0" shapeId="0" xr:uid="{00000000-0006-0000-0200-00000F000000}">
      <text>
        <r>
          <rPr>
            <b/>
            <sz val="11"/>
            <color indexed="81"/>
            <rFont val="細明體"/>
            <family val="3"/>
            <charset val="136"/>
          </rPr>
          <t>乘哥</t>
        </r>
        <r>
          <rPr>
            <b/>
            <sz val="11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= </t>
        </r>
        <r>
          <rPr>
            <sz val="11"/>
            <color indexed="81"/>
            <rFont val="細明體"/>
            <family val="3"/>
            <charset val="136"/>
          </rPr>
          <t>投資資金</t>
        </r>
        <r>
          <rPr>
            <sz val="11"/>
            <color indexed="81"/>
            <rFont val="Tahoma"/>
            <family val="2"/>
          </rPr>
          <t xml:space="preserve"> + </t>
        </r>
        <r>
          <rPr>
            <sz val="11"/>
            <color indexed="81"/>
            <rFont val="細明體"/>
            <family val="3"/>
            <charset val="136"/>
          </rPr>
          <t>緊急預備金</t>
        </r>
        <r>
          <rPr>
            <sz val="11"/>
            <color indexed="81"/>
            <rFont val="細明體"/>
            <family val="3"/>
            <charset val="136"/>
          </rPr>
          <t xml:space="preserve">
當手上股市資產達到這個數值時就表示可以退休了。</t>
        </r>
      </text>
    </comment>
    <comment ref="B15" authorId="0" shapeId="0" xr:uid="{00000000-0006-0000-0200-000010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是</t>
        </r>
        <r>
          <rPr>
            <sz val="11"/>
            <color indexed="81"/>
            <rFont val="Tahoma"/>
            <family val="2"/>
          </rPr>
          <t xml:space="preserve">: </t>
        </r>
        <r>
          <rPr>
            <sz val="11"/>
            <color indexed="81"/>
            <rFont val="細明體"/>
            <family val="3"/>
            <charset val="136"/>
          </rPr>
          <t>使用質押取得生活費，並輸入下列質押利率及質押維持率。
否</t>
        </r>
        <r>
          <rPr>
            <sz val="11"/>
            <color indexed="81"/>
            <rFont val="Tahoma"/>
            <family val="2"/>
          </rPr>
          <t xml:space="preserve">: </t>
        </r>
        <r>
          <rPr>
            <sz val="11"/>
            <color indexed="81"/>
            <rFont val="細明體"/>
            <family val="3"/>
            <charset val="136"/>
          </rPr>
          <t>使用現金做為生活費，忽略下列質押利率及質押維持率，且配置中需預留足夠的現金比率。</t>
        </r>
      </text>
    </comment>
    <comment ref="B16" authorId="0" shapeId="0" xr:uid="{E8C27248-D965-4D72-A6B4-3EBA73541400}">
      <text>
        <r>
          <rPr>
            <b/>
            <sz val="10"/>
            <color indexed="81"/>
            <rFont val="細明體"/>
            <family val="3"/>
            <charset val="136"/>
          </rPr>
          <t>乘哥</t>
        </r>
        <r>
          <rPr>
            <b/>
            <sz val="10"/>
            <color indexed="81"/>
            <rFont val="Tahoma"/>
            <family val="2"/>
          </rPr>
          <t>(PC):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細明體"/>
            <family val="3"/>
            <charset val="136"/>
          </rPr>
          <t>輸入質押券商談定之質押利率</t>
        </r>
        <r>
          <rPr>
            <sz val="10"/>
            <color indexed="81"/>
            <rFont val="Tahoma"/>
            <family val="2"/>
          </rPr>
          <t>%</t>
        </r>
        <r>
          <rPr>
            <sz val="10"/>
            <color indexed="81"/>
            <rFont val="細明體"/>
            <family val="3"/>
            <charset val="136"/>
          </rPr>
          <t>，一般是借新還舊的方式，每</t>
        </r>
        <r>
          <rPr>
            <sz val="10"/>
            <color indexed="81"/>
            <rFont val="Tahoma"/>
            <family val="2"/>
          </rPr>
          <t>18</t>
        </r>
        <r>
          <rPr>
            <sz val="10"/>
            <color indexed="81"/>
            <rFont val="細明體"/>
            <family val="3"/>
            <charset val="136"/>
          </rPr>
          <t>個月</t>
        </r>
        <r>
          <rPr>
            <sz val="10"/>
            <color indexed="81"/>
            <rFont val="Tahoma"/>
            <family val="2"/>
          </rPr>
          <t>(</t>
        </r>
        <r>
          <rPr>
            <sz val="10"/>
            <color indexed="81"/>
            <rFont val="細明體"/>
            <family val="3"/>
            <charset val="136"/>
          </rPr>
          <t>一年半</t>
        </r>
        <r>
          <rPr>
            <sz val="10"/>
            <color indexed="81"/>
            <rFont val="Tahoma"/>
            <family val="2"/>
          </rPr>
          <t>)</t>
        </r>
        <r>
          <rPr>
            <sz val="10"/>
            <color indexed="81"/>
            <rFont val="細明體"/>
            <family val="3"/>
            <charset val="136"/>
          </rPr>
          <t>。</t>
        </r>
      </text>
    </comment>
    <comment ref="B17" authorId="0" shapeId="0" xr:uid="{E485E45A-7CA4-4425-BEAE-81CF567CB8C0}">
      <text>
        <r>
          <rPr>
            <b/>
            <sz val="10"/>
            <color indexed="81"/>
            <rFont val="細明體"/>
            <family val="3"/>
            <charset val="136"/>
          </rPr>
          <t>乘哥</t>
        </r>
        <r>
          <rPr>
            <b/>
            <sz val="10"/>
            <color indexed="81"/>
            <rFont val="Tahoma"/>
            <family val="2"/>
          </rPr>
          <t>(PC):</t>
        </r>
        <r>
          <rPr>
            <sz val="10"/>
            <color indexed="81"/>
            <rFont val="Tahoma"/>
            <family val="2"/>
          </rPr>
          <t xml:space="preserve">
= </t>
        </r>
        <r>
          <rPr>
            <sz val="10"/>
            <color indexed="81"/>
            <rFont val="細明體"/>
            <family val="3"/>
            <charset val="136"/>
          </rPr>
          <t>市值</t>
        </r>
        <r>
          <rPr>
            <sz val="10"/>
            <color indexed="81"/>
            <rFont val="Tahoma"/>
            <family val="2"/>
          </rPr>
          <t xml:space="preserve"> / </t>
        </r>
        <r>
          <rPr>
            <sz val="10"/>
            <color indexed="81"/>
            <rFont val="細明體"/>
            <family val="3"/>
            <charset val="136"/>
          </rPr>
          <t>累計借款</t>
        </r>
        <r>
          <rPr>
            <sz val="10"/>
            <color indexed="81"/>
            <rFont val="Tahoma"/>
            <family val="2"/>
          </rPr>
          <t xml:space="preserve"> 
</t>
        </r>
        <r>
          <rPr>
            <sz val="10"/>
            <color indexed="81"/>
            <rFont val="細明體"/>
            <family val="3"/>
            <charset val="136"/>
          </rPr>
          <t xml:space="preserve">是質押券商或銀行要求的維持率，要注意計算的時機是每日、每月、每年，不可低於此維持率，券商會要求補足或還款直至高於維持率，否則質押品會被強制賣出以還所借之款項。
</t>
        </r>
      </text>
    </comment>
    <comment ref="B18" authorId="0" shapeId="0" xr:uid="{00000000-0006-0000-0200-00001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</t>
        </r>
        <r>
          <rPr>
            <sz val="11"/>
            <color indexed="81"/>
            <rFont val="Tahoma"/>
            <family val="2"/>
          </rPr>
          <t>00662(QQQ)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19" authorId="0" shapeId="0" xr:uid="{00000000-0006-0000-0200-00001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</t>
        </r>
        <r>
          <rPr>
            <sz val="11"/>
            <color indexed="81"/>
            <rFont val="Tahoma"/>
            <family val="2"/>
          </rPr>
          <t>00670L(QLD)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20" authorId="0" shapeId="0" xr:uid="{00000000-0006-0000-0200-00001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資產配置現金或債券</t>
        </r>
        <r>
          <rPr>
            <sz val="11"/>
            <color indexed="81"/>
            <rFont val="Tahoma"/>
            <family val="2"/>
          </rPr>
          <t>00864B(BOXX)</t>
        </r>
        <r>
          <rPr>
            <sz val="11"/>
            <color indexed="81"/>
            <rFont val="細明體"/>
            <family val="3"/>
            <charset val="136"/>
          </rPr>
          <t>的比率</t>
        </r>
        <r>
          <rPr>
            <sz val="11"/>
            <color indexed="81"/>
            <rFont val="Tahoma"/>
            <family val="2"/>
          </rPr>
          <t>%</t>
        </r>
        <r>
          <rPr>
            <sz val="11"/>
            <color indexed="81"/>
            <rFont val="細明體"/>
            <family val="3"/>
            <charset val="136"/>
          </rPr>
          <t>。</t>
        </r>
      </text>
    </comment>
    <comment ref="B21" authorId="0" shapeId="0" xr:uid="{00000000-0006-0000-0200-000014000000}">
      <text>
        <r>
          <rPr>
            <b/>
            <sz val="9"/>
            <color indexed="81"/>
            <rFont val="細明體"/>
            <family val="3"/>
            <charset val="136"/>
          </rPr>
          <t>乘哥(PC)</t>
        </r>
        <r>
          <rPr>
            <sz val="9"/>
            <color indexed="81"/>
            <rFont val="細明體"/>
            <family val="3"/>
            <charset val="136"/>
          </rPr>
          <t xml:space="preserve">
【0-不做再平衡】
依據投資組合的比率投入資金後，無論漲跌、多空所投入之原型基金、槓桿資金與現金不做再平衡。
【1-正2與現金聰明再平衡】
A. 下跌年：從現金轉(一年生活費的N%，如2%)到槓桿基金。
B. 上漲年：槓桿基金當年度增值部分的X%(如30% 或 50%)轉到現金。
例如，一開始槓桿基金20萬(20%)、現金 20萬(20%)
經過一年之後市場下跌槓桿基金的金額變成 15萬、現金變成21萬，現金轉兩萬到槓桿基金，變成 17萬槓桿基金及19萬現金。
經過一年如果上漲槓桿基金的金額變成 23萬、現金變成21萬。就轉槓桿基金上漲的3萬的 30% 或 50% 到現金。
【2-正2與現金無腦再平衡】
每年槓桿基金和現金平均再平衡，即：
槓桿基金=現金=(槓桿基金+現金)/2。
例如，原本槓桿基金 20萬(20%)、現金 20萬(20%)
經過一年之後市場下跌槓桿基金的金額變成 15萬、現金變成21萬。
簡單再平衡，就是( 15 + 21) / 2 = 18萬。
【3-原型與現金無腦再平衡】
每年原型基金和現金平均再平衡，即：
原型基金=(原型基金+現金)*原型比率。
現金=(原型基金+現金)*現金比率。
</t>
        </r>
      </text>
    </comment>
    <comment ref="B22" authorId="0" shapeId="0" xr:uid="{00000000-0006-0000-0200-00001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僅使用於聰明再平衡時。
於上漲年時將此比率於再平衡時轉入現金。</t>
        </r>
      </text>
    </comment>
    <comment ref="B23" authorId="0" shapeId="0" xr:uid="{00000000-0006-0000-0200-00001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僅用於聰明再平衡時，於下跌年時將年淨提領金額轉至正</t>
        </r>
        <r>
          <rPr>
            <sz val="11"/>
            <color indexed="81"/>
            <rFont val="Tahoma"/>
            <family val="2"/>
          </rPr>
          <t>2</t>
        </r>
        <r>
          <rPr>
            <sz val="11"/>
            <color indexed="81"/>
            <rFont val="細明體"/>
            <family val="3"/>
            <charset val="136"/>
          </rPr>
          <t>做平衡。</t>
        </r>
      </text>
    </comment>
    <comment ref="B24" authorId="0" shapeId="0" xr:uid="{00000000-0006-0000-0200-000017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計算資產配置的貝塔值</t>
        </r>
        <r>
          <rPr>
            <sz val="11"/>
            <color indexed="81"/>
            <rFont val="Tahoma"/>
            <family val="2"/>
          </rPr>
          <t xml:space="preserve">(Beta)
= QQQ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1 + OLD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2 + </t>
        </r>
        <r>
          <rPr>
            <sz val="11"/>
            <color indexed="81"/>
            <rFont val="細明體"/>
            <family val="3"/>
            <charset val="136"/>
          </rPr>
          <t>現金佔比</t>
        </r>
        <r>
          <rPr>
            <sz val="11"/>
            <color indexed="81"/>
            <rFont val="Tahoma"/>
            <family val="2"/>
          </rPr>
          <t xml:space="preserve"> * 0</t>
        </r>
      </text>
    </comment>
    <comment ref="B25" authorId="0" shapeId="0" xr:uid="{00000000-0006-0000-0200-000018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 QQQ 25 </t>
        </r>
        <r>
          <rPr>
            <sz val="11"/>
            <color indexed="81"/>
            <rFont val="細明體"/>
            <family val="3"/>
            <charset val="136"/>
          </rPr>
          <t>年的資料。</t>
        </r>
      </text>
    </comment>
    <comment ref="B26" authorId="0" shapeId="0" xr:uid="{00000000-0006-0000-0200-000019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25 </t>
        </r>
        <r>
          <rPr>
            <sz val="11"/>
            <color indexed="81"/>
            <rFont val="細明體"/>
            <family val="3"/>
            <charset val="136"/>
          </rPr>
          <t>年</t>
        </r>
        <r>
          <rPr>
            <sz val="11"/>
            <color indexed="81"/>
            <rFont val="Tahoma"/>
            <family val="2"/>
          </rPr>
          <t xml:space="preserve">QQQ 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</t>
        </r>
      </text>
    </comment>
    <comment ref="B27" authorId="0" shapeId="0" xr:uid="{00000000-0006-0000-0200-00001A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回測</t>
        </r>
        <r>
          <rPr>
            <sz val="11"/>
            <color indexed="81"/>
            <rFont val="Tahoma"/>
            <family val="2"/>
          </rPr>
          <t xml:space="preserve">25 </t>
        </r>
        <r>
          <rPr>
            <sz val="11"/>
            <color indexed="81"/>
            <rFont val="細明體"/>
            <family val="3"/>
            <charset val="136"/>
          </rPr>
          <t>年</t>
        </r>
        <r>
          <rPr>
            <sz val="11"/>
            <color indexed="81"/>
            <rFont val="Tahoma"/>
            <family val="2"/>
          </rPr>
          <t xml:space="preserve"> QLD 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</t>
        </r>
      </text>
    </comment>
    <comment ref="B28" authorId="0" shapeId="0" xr:uid="{00000000-0006-0000-0200-00001B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現金</t>
        </r>
        <r>
          <rPr>
            <sz val="11"/>
            <color indexed="81"/>
            <rFont val="細明體"/>
            <family val="3"/>
            <charset val="136"/>
          </rPr>
          <t>之年化報酬</t>
        </r>
        <r>
          <rPr>
            <sz val="11"/>
            <color indexed="81"/>
            <rFont val="Tahoma"/>
            <family val="2"/>
          </rPr>
          <t>% = 0%</t>
        </r>
      </text>
    </comment>
    <comment ref="B29" authorId="0" shapeId="0" xr:uid="{00000000-0006-0000-0200-00001C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依資產配置比率計算總年化報酬</t>
        </r>
        <r>
          <rPr>
            <sz val="11"/>
            <color indexed="81"/>
            <rFont val="Tahoma"/>
            <family val="2"/>
          </rPr>
          <t>%
= QQQ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QQQ</t>
        </r>
        <r>
          <rPr>
            <sz val="11"/>
            <color indexed="81"/>
            <rFont val="細明體"/>
            <family val="3"/>
            <charset val="136"/>
          </rPr>
          <t>年化</t>
        </r>
        <r>
          <rPr>
            <sz val="11"/>
            <color indexed="81"/>
            <rFont val="Tahoma"/>
            <family val="2"/>
          </rPr>
          <t xml:space="preserve">% + QLD </t>
        </r>
        <r>
          <rPr>
            <sz val="11"/>
            <color indexed="81"/>
            <rFont val="細明體"/>
            <family val="3"/>
            <charset val="136"/>
          </rPr>
          <t>佔比</t>
        </r>
        <r>
          <rPr>
            <sz val="11"/>
            <color indexed="81"/>
            <rFont val="Tahoma"/>
            <family val="2"/>
          </rPr>
          <t xml:space="preserve"> * QLD </t>
        </r>
        <r>
          <rPr>
            <sz val="11"/>
            <color indexed="81"/>
            <rFont val="細明體"/>
            <family val="3"/>
            <charset val="136"/>
          </rPr>
          <t>年化</t>
        </r>
        <r>
          <rPr>
            <sz val="11"/>
            <color indexed="81"/>
            <rFont val="Tahoma"/>
            <family val="2"/>
          </rPr>
          <t xml:space="preserve">%
</t>
        </r>
      </text>
    </comment>
    <comment ref="B30" authorId="0" shapeId="0" xr:uid="{00000000-0006-0000-0200-00001D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 xml:space="preserve">最終資產為初期目標資產的倍數
</t>
        </r>
        <r>
          <rPr>
            <sz val="11"/>
            <color indexed="81"/>
            <rFont val="Tahoma"/>
            <family val="2"/>
          </rPr>
          <t xml:space="preserve">= </t>
        </r>
        <r>
          <rPr>
            <sz val="11"/>
            <color indexed="81"/>
            <rFont val="細明體"/>
            <family val="3"/>
            <charset val="136"/>
          </rPr>
          <t>最終資產</t>
        </r>
        <r>
          <rPr>
            <sz val="11"/>
            <color indexed="81"/>
            <rFont val="Tahoma"/>
            <family val="2"/>
          </rPr>
          <t xml:space="preserve">(H28) / </t>
        </r>
        <r>
          <rPr>
            <sz val="11"/>
            <color indexed="81"/>
            <rFont val="細明體"/>
            <family val="3"/>
            <charset val="136"/>
          </rPr>
          <t>投資資金</t>
        </r>
        <r>
          <rPr>
            <sz val="11"/>
            <color indexed="81"/>
            <rFont val="Tahoma"/>
            <family val="2"/>
          </rPr>
          <t>(C13)</t>
        </r>
      </text>
    </comment>
    <comment ref="B31" authorId="0" shapeId="0" xr:uid="{00000000-0006-0000-0200-00001E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最終資產為初期目標資產的年化報酬率</t>
        </r>
        <r>
          <rPr>
            <sz val="11"/>
            <color indexed="81"/>
            <rFont val="Tahoma"/>
            <family val="2"/>
          </rPr>
          <t>(</t>
        </r>
        <r>
          <rPr>
            <sz val="11"/>
            <color indexed="81"/>
            <rFont val="細明體"/>
            <family val="3"/>
            <charset val="136"/>
          </rPr>
          <t>扣除已提領</t>
        </r>
        <r>
          <rPr>
            <sz val="11"/>
            <color indexed="81"/>
            <rFont val="Tahoma"/>
            <family val="2"/>
          </rPr>
          <t>)</t>
        </r>
        <r>
          <rPr>
            <sz val="11"/>
            <color indexed="81"/>
            <rFont val="細明體"/>
            <family val="3"/>
            <charset val="136"/>
          </rPr>
          <t xml:space="preserve">。
</t>
        </r>
        <r>
          <rPr>
            <sz val="11"/>
            <color indexed="81"/>
            <rFont val="Tahoma"/>
            <family val="2"/>
          </rPr>
          <t>=(H28/C13)^(1/C25)-1</t>
        </r>
      </text>
    </comment>
    <comment ref="B32" authorId="0" shapeId="0" xr:uid="{00000000-0006-0000-0200-00001F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細明體"/>
            <family val="3"/>
            <charset val="136"/>
          </rPr>
          <t>包含已提領之總年化報酬率。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A8" authorId="0" shapeId="0" xr:uid="{A323EC89-F084-4CB3-9691-3CC86A537CFF}">
      <text>
        <r>
          <rPr>
            <sz val="9"/>
            <color indexed="81"/>
            <rFont val="細明體"/>
            <family val="3"/>
            <charset val="136"/>
          </rPr>
          <t>【</t>
        </r>
        <r>
          <rPr>
            <sz val="9"/>
            <color indexed="81"/>
            <rFont val="Tahoma"/>
            <family val="2"/>
          </rPr>
          <t>0-</t>
        </r>
        <r>
          <rPr>
            <sz val="9"/>
            <color indexed="81"/>
            <rFont val="細明體"/>
            <family val="3"/>
            <charset val="136"/>
          </rPr>
          <t>不做再平衡】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細明體"/>
            <family val="3"/>
            <charset val="136"/>
          </rPr>
          <t>無論漲跌、多空投入之槓桿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細明體"/>
            <family val="3"/>
            <charset val="136"/>
          </rPr>
          <t>資金與現金不做再平衡。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
【</t>
        </r>
        <r>
          <rPr>
            <sz val="9"/>
            <color indexed="81"/>
            <rFont val="Tahoma"/>
            <family val="2"/>
          </rPr>
          <t>1-</t>
        </r>
        <r>
          <rPr>
            <sz val="9"/>
            <color indexed="81"/>
            <rFont val="細明體"/>
            <family val="3"/>
            <charset val="136"/>
          </rPr>
          <t>聰明再平衡】
下跌年從現金轉（一年生活費</t>
        </r>
        <r>
          <rPr>
            <sz val="9"/>
            <color indexed="81"/>
            <rFont val="Tahoma"/>
            <family val="2"/>
          </rPr>
          <t>2%</t>
        </r>
        <r>
          <rPr>
            <sz val="9"/>
            <color indexed="81"/>
            <rFont val="細明體"/>
            <family val="3"/>
            <charset val="136"/>
          </rPr>
          <t>（兩萬）到槓桿基金，上漲年，槓桿基金當年度增值部分的一半轉到現金。
【</t>
        </r>
        <r>
          <rPr>
            <sz val="9"/>
            <color indexed="81"/>
            <rFont val="Tahoma"/>
            <family val="2"/>
          </rPr>
          <t>2-</t>
        </r>
        <r>
          <rPr>
            <sz val="9"/>
            <color indexed="81"/>
            <rFont val="細明體"/>
            <family val="3"/>
            <charset val="136"/>
          </rPr>
          <t>簡單再平衡】
每年槓桿基金和現金平均再平衡</t>
        </r>
        <r>
          <rPr>
            <sz val="9"/>
            <color indexed="81"/>
            <rFont val="Tahoma"/>
            <family val="2"/>
          </rPr>
          <t>1-</t>
        </r>
        <r>
          <rPr>
            <sz val="9"/>
            <color indexed="81"/>
            <rFont val="細明體"/>
            <family val="3"/>
            <charset val="136"/>
          </rPr>
          <t>。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乘哥(PC)</author>
  </authors>
  <commentList>
    <comment ref="D2" authorId="0" shapeId="0" xr:uid="{00000000-0006-0000-0400-000001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2" authorId="0" shapeId="0" xr:uid="{00000000-0006-0000-0400-000002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9" authorId="0" shapeId="0" xr:uid="{00000000-0006-0000-0400-000003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9" authorId="0" shapeId="0" xr:uid="{00000000-0006-0000-0400-000004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  <comment ref="D16" authorId="0" shapeId="0" xr:uid="{00000000-0006-0000-0400-000005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距上次的漲幅</t>
        </r>
        <r>
          <rPr>
            <sz val="9"/>
            <color indexed="81"/>
            <rFont val="Tahoma"/>
            <family val="2"/>
          </rPr>
          <t>%</t>
        </r>
      </text>
    </comment>
    <comment ref="G16" authorId="0" shapeId="0" xr:uid="{00000000-0006-0000-0400-000006000000}">
      <text>
        <r>
          <rPr>
            <b/>
            <sz val="9"/>
            <color indexed="81"/>
            <rFont val="細明體"/>
            <family val="3"/>
            <charset val="136"/>
          </rPr>
          <t>乘哥</t>
        </r>
        <r>
          <rPr>
            <b/>
            <sz val="9"/>
            <color indexed="81"/>
            <rFont val="Tahoma"/>
            <family val="2"/>
          </rPr>
          <t>(PC):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調整後的跌幅比率</t>
        </r>
        <r>
          <rPr>
            <sz val="9"/>
            <color indexed="81"/>
            <rFont val="Tahoma"/>
            <family val="2"/>
          </rPr>
          <t>%</t>
        </r>
      </text>
    </comment>
  </commentList>
</comments>
</file>

<file path=xl/sharedStrings.xml><?xml version="1.0" encoding="utf-8"?>
<sst xmlns="http://schemas.openxmlformats.org/spreadsheetml/2006/main" count="895" uniqueCount="444">
  <si>
    <t>1999-06-01</t>
  </si>
  <si>
    <t>1999-07-01</t>
  </si>
  <si>
    <t>1999-08-01</t>
  </si>
  <si>
    <t>1999-09-01</t>
  </si>
  <si>
    <t>1999-10-01</t>
  </si>
  <si>
    <t>1999-11-01</t>
  </si>
  <si>
    <t>1999-12-01</t>
  </si>
  <si>
    <t>2000-01-01</t>
  </si>
  <si>
    <t>2000-02-01</t>
  </si>
  <si>
    <t>2000-03-01</t>
  </si>
  <si>
    <t>2000-04-01</t>
  </si>
  <si>
    <t>2000-05-01</t>
  </si>
  <si>
    <t>2000-06-01</t>
  </si>
  <si>
    <t>2000-07-01</t>
  </si>
  <si>
    <t>2000-08-01</t>
  </si>
  <si>
    <t>2000-09-01</t>
  </si>
  <si>
    <t>2000-10-01</t>
  </si>
  <si>
    <t>2000-11-01</t>
  </si>
  <si>
    <t>2000-12-01</t>
  </si>
  <si>
    <t>2001-01-01</t>
  </si>
  <si>
    <t>2001-02-01</t>
  </si>
  <si>
    <t>2001-03-01</t>
  </si>
  <si>
    <t>2001-04-01</t>
  </si>
  <si>
    <t>2001-05-01</t>
  </si>
  <si>
    <t>2001-06-01</t>
  </si>
  <si>
    <t>2001-07-01</t>
  </si>
  <si>
    <t>2001-08-01</t>
  </si>
  <si>
    <t>2001-09-01</t>
  </si>
  <si>
    <t>2001-10-01</t>
  </si>
  <si>
    <t>2001-11-01</t>
  </si>
  <si>
    <t>2001-12-01</t>
  </si>
  <si>
    <t>2002-01-01</t>
  </si>
  <si>
    <t>2002-02-01</t>
  </si>
  <si>
    <t>2002-03-01</t>
  </si>
  <si>
    <t>2002-04-01</t>
  </si>
  <si>
    <t>2002-05-01</t>
  </si>
  <si>
    <t>2002-06-01</t>
  </si>
  <si>
    <t>2002-07-01</t>
  </si>
  <si>
    <t>2002-08-01</t>
  </si>
  <si>
    <t>2002-09-01</t>
  </si>
  <si>
    <t>2002-10-01</t>
  </si>
  <si>
    <t>2002-11-01</t>
  </si>
  <si>
    <t>2002-12-01</t>
  </si>
  <si>
    <t>2003-01-01</t>
  </si>
  <si>
    <t>2003-02-01</t>
  </si>
  <si>
    <t>2003-03-01</t>
  </si>
  <si>
    <t>2003-04-01</t>
  </si>
  <si>
    <t>2003-05-01</t>
  </si>
  <si>
    <t>2003-06-01</t>
  </si>
  <si>
    <t>2003-07-01</t>
  </si>
  <si>
    <t>2003-08-01</t>
  </si>
  <si>
    <t>2003-09-01</t>
  </si>
  <si>
    <t>2003-10-01</t>
  </si>
  <si>
    <t>2003-11-01</t>
  </si>
  <si>
    <t>2003-12-01</t>
  </si>
  <si>
    <t>2004-01-01</t>
  </si>
  <si>
    <t>2004-02-01</t>
  </si>
  <si>
    <t>2004-03-01</t>
  </si>
  <si>
    <t>2004-04-01</t>
  </si>
  <si>
    <t>2004-05-01</t>
  </si>
  <si>
    <t>2004-06-01</t>
  </si>
  <si>
    <t>2004-07-01</t>
  </si>
  <si>
    <t>2004-08-01</t>
  </si>
  <si>
    <t>2004-09-01</t>
  </si>
  <si>
    <t>2004-10-01</t>
  </si>
  <si>
    <t>2004-11-01</t>
  </si>
  <si>
    <t>2004-12-01</t>
  </si>
  <si>
    <t>2005-01-01</t>
  </si>
  <si>
    <t>2005-02-01</t>
  </si>
  <si>
    <t>2005-03-01</t>
  </si>
  <si>
    <t>2005-04-01</t>
  </si>
  <si>
    <t>2005-05-01</t>
  </si>
  <si>
    <t>2005-06-01</t>
  </si>
  <si>
    <t>2005-07-01</t>
  </si>
  <si>
    <t>2005-08-01</t>
  </si>
  <si>
    <t>2005-09-01</t>
  </si>
  <si>
    <t>2005-10-01</t>
  </si>
  <si>
    <t>2005-11-01</t>
  </si>
  <si>
    <t>2005-12-01</t>
  </si>
  <si>
    <t>2006-01-01</t>
  </si>
  <si>
    <t>2006-02-01</t>
  </si>
  <si>
    <t>2006-03-01</t>
  </si>
  <si>
    <t>2006-04-01</t>
  </si>
  <si>
    <t>2006-05-01</t>
  </si>
  <si>
    <t>2006-06-01</t>
  </si>
  <si>
    <t>2006-07-01</t>
  </si>
  <si>
    <t>2006-08-01</t>
  </si>
  <si>
    <t>2006-09-01</t>
  </si>
  <si>
    <t>2006-10-01</t>
  </si>
  <si>
    <t>2006-11-01</t>
  </si>
  <si>
    <t>2006-12-01</t>
  </si>
  <si>
    <t>2007-01-01</t>
  </si>
  <si>
    <t>2007-02-01</t>
  </si>
  <si>
    <t>2007-03-01</t>
  </si>
  <si>
    <t>2007-04-01</t>
  </si>
  <si>
    <t>2007-05-01</t>
  </si>
  <si>
    <t>2007-06-01</t>
  </si>
  <si>
    <t>2007-07-01</t>
  </si>
  <si>
    <t>2007-08-01</t>
  </si>
  <si>
    <t>2007-09-01</t>
  </si>
  <si>
    <t>2007-10-01</t>
  </si>
  <si>
    <t>2007-11-01</t>
  </si>
  <si>
    <t>2007-12-01</t>
  </si>
  <si>
    <t>2008-01-01</t>
  </si>
  <si>
    <t>2008-02-01</t>
  </si>
  <si>
    <t>2008-03-01</t>
  </si>
  <si>
    <t>2008-04-01</t>
  </si>
  <si>
    <t>2008-05-01</t>
  </si>
  <si>
    <t>2008-06-01</t>
  </si>
  <si>
    <t>2008-07-01</t>
  </si>
  <si>
    <t>2008-08-01</t>
  </si>
  <si>
    <t>2008-09-01</t>
  </si>
  <si>
    <t>2008-10-01</t>
  </si>
  <si>
    <t>2008-11-01</t>
  </si>
  <si>
    <t>2008-12-01</t>
  </si>
  <si>
    <t>2009-01-01</t>
  </si>
  <si>
    <t>2009-02-01</t>
  </si>
  <si>
    <t>2009-03-01</t>
  </si>
  <si>
    <t>2009-04-01</t>
  </si>
  <si>
    <t>2009-05-01</t>
  </si>
  <si>
    <t>2009-06-01</t>
  </si>
  <si>
    <t>2009-07-01</t>
  </si>
  <si>
    <t>2009-08-01</t>
  </si>
  <si>
    <t>2009-09-01</t>
  </si>
  <si>
    <t>2009-10-01</t>
  </si>
  <si>
    <t>2009-11-01</t>
  </si>
  <si>
    <t>2009-12-01</t>
  </si>
  <si>
    <t>2010-01-01</t>
  </si>
  <si>
    <t>2010-02-01</t>
  </si>
  <si>
    <t>2010-03-01</t>
  </si>
  <si>
    <t>2010-04-01</t>
  </si>
  <si>
    <t>2010-05-01</t>
  </si>
  <si>
    <t>2010-06-01</t>
  </si>
  <si>
    <t>2010-07-01</t>
  </si>
  <si>
    <t>2010-08-01</t>
  </si>
  <si>
    <t>2010-09-01</t>
  </si>
  <si>
    <t>2010-10-01</t>
  </si>
  <si>
    <t>2010-11-01</t>
  </si>
  <si>
    <t>2010-12-01</t>
  </si>
  <si>
    <t>2011-01-01</t>
  </si>
  <si>
    <t>2011-02-01</t>
  </si>
  <si>
    <t>2011-03-01</t>
  </si>
  <si>
    <t>2011-04-01</t>
  </si>
  <si>
    <t>2011-05-01</t>
  </si>
  <si>
    <t>2011-06-01</t>
  </si>
  <si>
    <t>2011-07-01</t>
  </si>
  <si>
    <t>2011-08-01</t>
  </si>
  <si>
    <t>2011-09-01</t>
  </si>
  <si>
    <t>2011-10-01</t>
  </si>
  <si>
    <t>2011-11-01</t>
  </si>
  <si>
    <t>2011-12-01</t>
  </si>
  <si>
    <t>2012-01-01</t>
  </si>
  <si>
    <t>2012-02-01</t>
  </si>
  <si>
    <t>2012-03-01</t>
  </si>
  <si>
    <t>2012-04-01</t>
  </si>
  <si>
    <t>2012-05-01</t>
  </si>
  <si>
    <t>2012-06-01</t>
  </si>
  <si>
    <t>2012-07-01</t>
  </si>
  <si>
    <t>2012-08-01</t>
  </si>
  <si>
    <t>2012-09-01</t>
  </si>
  <si>
    <t>2012-10-01</t>
  </si>
  <si>
    <t>2012-11-01</t>
  </si>
  <si>
    <t>2012-12-01</t>
  </si>
  <si>
    <t>2013-01-01</t>
  </si>
  <si>
    <t>2013-02-01</t>
  </si>
  <si>
    <t>2013-03-01</t>
  </si>
  <si>
    <t>2013-04-01</t>
  </si>
  <si>
    <t>2013-05-01</t>
  </si>
  <si>
    <t>2013-06-01</t>
  </si>
  <si>
    <t>2013-07-01</t>
  </si>
  <si>
    <t>2013-08-01</t>
  </si>
  <si>
    <t>2013-09-01</t>
  </si>
  <si>
    <t>2013-10-01</t>
  </si>
  <si>
    <t>2013-11-01</t>
  </si>
  <si>
    <t>2013-12-01</t>
  </si>
  <si>
    <t>2014-01-01</t>
  </si>
  <si>
    <t>2014-02-01</t>
  </si>
  <si>
    <t>2014-03-01</t>
  </si>
  <si>
    <t>2014-04-01</t>
  </si>
  <si>
    <t>2014-05-01</t>
  </si>
  <si>
    <t>2014-06-01</t>
  </si>
  <si>
    <t>2014-07-01</t>
  </si>
  <si>
    <t>2014-08-01</t>
  </si>
  <si>
    <t>2014-09-01</t>
  </si>
  <si>
    <t>2014-10-01</t>
  </si>
  <si>
    <t>2014-11-01</t>
  </si>
  <si>
    <t>2014-12-01</t>
  </si>
  <si>
    <t>2015-01-01</t>
  </si>
  <si>
    <t>2015-02-01</t>
  </si>
  <si>
    <t>2015-03-01</t>
  </si>
  <si>
    <t>2015-04-01</t>
  </si>
  <si>
    <t>2015-05-01</t>
  </si>
  <si>
    <t>2015-06-01</t>
  </si>
  <si>
    <t>2015-07-01</t>
  </si>
  <si>
    <t>2015-08-01</t>
  </si>
  <si>
    <t>2015-09-01</t>
  </si>
  <si>
    <t>2015-10-01</t>
  </si>
  <si>
    <t>2015-11-01</t>
  </si>
  <si>
    <t>2015-12-01</t>
  </si>
  <si>
    <t>2016-01-01</t>
  </si>
  <si>
    <t>2016-02-01</t>
  </si>
  <si>
    <t>2016-03-01</t>
  </si>
  <si>
    <t>2016-04-01</t>
  </si>
  <si>
    <t>2016-05-01</t>
  </si>
  <si>
    <t>2016-06-01</t>
  </si>
  <si>
    <t>2016-07-01</t>
  </si>
  <si>
    <t>2016-08-01</t>
  </si>
  <si>
    <t>2016-09-01</t>
  </si>
  <si>
    <t>2016-10-01</t>
  </si>
  <si>
    <t>2016-11-01</t>
  </si>
  <si>
    <t>2016-12-01</t>
  </si>
  <si>
    <t>2017-01-01</t>
  </si>
  <si>
    <t>2017-02-01</t>
  </si>
  <si>
    <t>2017-03-01</t>
  </si>
  <si>
    <t>2017-04-01</t>
  </si>
  <si>
    <t>2017-05-01</t>
  </si>
  <si>
    <t>2017-06-01</t>
  </si>
  <si>
    <t>2017-07-01</t>
  </si>
  <si>
    <t>2017-08-01</t>
  </si>
  <si>
    <t>2017-09-01</t>
  </si>
  <si>
    <t>2017-10-01</t>
  </si>
  <si>
    <t>2017-11-01</t>
  </si>
  <si>
    <t>2017-12-01</t>
  </si>
  <si>
    <t>2018-01-01</t>
  </si>
  <si>
    <t>2018-02-01</t>
  </si>
  <si>
    <t>2018-03-01</t>
  </si>
  <si>
    <t>2018-04-01</t>
  </si>
  <si>
    <t>2018-05-01</t>
  </si>
  <si>
    <t>2018-06-01</t>
  </si>
  <si>
    <t>2018-07-01</t>
  </si>
  <si>
    <t>2018-08-01</t>
  </si>
  <si>
    <t>2018-09-01</t>
  </si>
  <si>
    <t>2018-10-01</t>
  </si>
  <si>
    <t>2018-11-01</t>
  </si>
  <si>
    <t>2018-12-01</t>
  </si>
  <si>
    <t>2019-01-01</t>
  </si>
  <si>
    <t>2019-02-01</t>
  </si>
  <si>
    <t>2019-03-01</t>
  </si>
  <si>
    <t>2019-04-01</t>
  </si>
  <si>
    <t>2019-05-01</t>
  </si>
  <si>
    <t>2019-06-01</t>
  </si>
  <si>
    <t>2019-07-01</t>
  </si>
  <si>
    <t>2019-08-01</t>
  </si>
  <si>
    <t>2019-09-01</t>
  </si>
  <si>
    <t>2019-10-01</t>
  </si>
  <si>
    <t>2019-11-01</t>
  </si>
  <si>
    <t>2019-12-01</t>
  </si>
  <si>
    <t>2020-01-01</t>
  </si>
  <si>
    <t>2020-02-01</t>
  </si>
  <si>
    <t>2020-03-01</t>
  </si>
  <si>
    <t>2020-04-01</t>
  </si>
  <si>
    <t>2020-05-01</t>
  </si>
  <si>
    <t>2020-06-01</t>
  </si>
  <si>
    <t>2020-07-01</t>
  </si>
  <si>
    <t>2020-08-01</t>
  </si>
  <si>
    <t>2020-09-01</t>
  </si>
  <si>
    <t>2020-10-01</t>
  </si>
  <si>
    <t>2020-11-01</t>
  </si>
  <si>
    <t>2020-12-01</t>
  </si>
  <si>
    <t>2021-01-01</t>
  </si>
  <si>
    <t>2021-02-01</t>
  </si>
  <si>
    <t>2021-03-01</t>
  </si>
  <si>
    <t>2021-04-01</t>
  </si>
  <si>
    <t>2021-05-01</t>
  </si>
  <si>
    <t>2021-06-01</t>
  </si>
  <si>
    <t>2021-07-01</t>
  </si>
  <si>
    <t>2021-08-01</t>
  </si>
  <si>
    <t>2021-09-01</t>
  </si>
  <si>
    <t>2021-10-01</t>
  </si>
  <si>
    <t>2021-11-01</t>
  </si>
  <si>
    <t>2021-12-01</t>
  </si>
  <si>
    <t>2022-01-01</t>
  </si>
  <si>
    <t>2022-02-01</t>
  </si>
  <si>
    <t>2022-03-01</t>
  </si>
  <si>
    <t>2022-04-01</t>
  </si>
  <si>
    <t>2022-05-01</t>
  </si>
  <si>
    <t>2022-06-01</t>
  </si>
  <si>
    <t>2022-07-01</t>
  </si>
  <si>
    <t>2022-08-01</t>
  </si>
  <si>
    <t>2022-09-01</t>
  </si>
  <si>
    <t>2022-10-01</t>
  </si>
  <si>
    <t>2022-11-01</t>
  </si>
  <si>
    <t>2022-12-01</t>
  </si>
  <si>
    <t>2023-01-01</t>
  </si>
  <si>
    <t>2023-02-01</t>
  </si>
  <si>
    <t>2023-03-01</t>
  </si>
  <si>
    <t>2023-04-01</t>
  </si>
  <si>
    <t>2023-05-01</t>
  </si>
  <si>
    <t>2023-06-01</t>
  </si>
  <si>
    <t>2023-07-01</t>
  </si>
  <si>
    <t>2023-08-01</t>
  </si>
  <si>
    <t>2023-09-01</t>
  </si>
  <si>
    <t>2023-10-01</t>
  </si>
  <si>
    <t>2023-11-01</t>
  </si>
  <si>
    <t>2023-12-01</t>
  </si>
  <si>
    <t>2024-01-01</t>
  </si>
  <si>
    <t>Date</t>
  </si>
  <si>
    <t>Open</t>
  </si>
  <si>
    <t>High</t>
  </si>
  <si>
    <t>Low</t>
  </si>
  <si>
    <t>QQQ</t>
    <phoneticPr fontId="2" type="noConversion"/>
  </si>
  <si>
    <t>QLD</t>
    <phoneticPr fontId="2" type="noConversion"/>
  </si>
  <si>
    <t>Dif%</t>
    <phoneticPr fontId="2" type="noConversion"/>
  </si>
  <si>
    <t>2024-02-01</t>
    <phoneticPr fontId="2" type="noConversion"/>
  </si>
  <si>
    <t>2024-03-01</t>
    <phoneticPr fontId="2" type="noConversion"/>
  </si>
  <si>
    <t>2024-04-01</t>
    <phoneticPr fontId="2" type="noConversion"/>
  </si>
  <si>
    <t>2024-05-01</t>
    <phoneticPr fontId="2" type="noConversion"/>
  </si>
  <si>
    <t>Close</t>
    <phoneticPr fontId="2" type="noConversion"/>
  </si>
  <si>
    <t>月高</t>
    <phoneticPr fontId="2" type="noConversion"/>
  </si>
  <si>
    <t>月低</t>
    <phoneticPr fontId="2" type="noConversion"/>
  </si>
  <si>
    <t>總投入</t>
    <phoneticPr fontId="2" type="noConversion"/>
  </si>
  <si>
    <t>投入均價</t>
    <phoneticPr fontId="2" type="noConversion"/>
  </si>
  <si>
    <t>現值</t>
    <phoneticPr fontId="2" type="noConversion"/>
  </si>
  <si>
    <t>損益</t>
    <phoneticPr fontId="2" type="noConversion"/>
  </si>
  <si>
    <t>損益%</t>
    <phoneticPr fontId="2" type="noConversion"/>
  </si>
  <si>
    <t>XIRR</t>
    <phoneticPr fontId="2" type="noConversion"/>
  </si>
  <si>
    <t>年高</t>
    <phoneticPr fontId="2" type="noConversion"/>
  </si>
  <si>
    <t>年低</t>
    <phoneticPr fontId="2" type="noConversion"/>
  </si>
  <si>
    <t>投入股數</t>
    <phoneticPr fontId="2" type="noConversion"/>
  </si>
  <si>
    <t>投報年化%</t>
    <phoneticPr fontId="2" type="noConversion"/>
  </si>
  <si>
    <t>定期(初)</t>
    <phoneticPr fontId="2" type="noConversion"/>
  </si>
  <si>
    <t>定期(末)</t>
    <phoneticPr fontId="2" type="noConversion"/>
  </si>
  <si>
    <t>單筆</t>
  </si>
  <si>
    <t>單筆</t>
    <phoneticPr fontId="2" type="noConversion"/>
  </si>
  <si>
    <t>定額</t>
    <phoneticPr fontId="2" type="noConversion"/>
  </si>
  <si>
    <t>股數</t>
    <phoneticPr fontId="2" type="noConversion"/>
  </si>
  <si>
    <t>成本</t>
    <phoneticPr fontId="2" type="noConversion"/>
  </si>
  <si>
    <t>總股數</t>
    <phoneticPr fontId="2" type="noConversion"/>
  </si>
  <si>
    <t>目前股價</t>
    <phoneticPr fontId="2" type="noConversion"/>
  </si>
  <si>
    <t>每月最高點</t>
    <phoneticPr fontId="2" type="noConversion"/>
  </si>
  <si>
    <t>每月最低點</t>
    <phoneticPr fontId="2" type="noConversion"/>
  </si>
  <si>
    <t>每年最高點</t>
    <phoneticPr fontId="2" type="noConversion"/>
  </si>
  <si>
    <t>每年最低點</t>
    <phoneticPr fontId="2" type="noConversion"/>
  </si>
  <si>
    <t>單位數</t>
    <phoneticPr fontId="2" type="noConversion"/>
  </si>
  <si>
    <t>4800</t>
    <phoneticPr fontId="2" type="noConversion"/>
  </si>
  <si>
    <t>8</t>
    <phoneticPr fontId="2" type="noConversion"/>
  </si>
  <si>
    <t>7</t>
    <phoneticPr fontId="2" type="noConversion"/>
  </si>
  <si>
    <t>11</t>
    <phoneticPr fontId="2" type="noConversion"/>
  </si>
  <si>
    <t>年度</t>
    <phoneticPr fontId="2" type="noConversion"/>
  </si>
  <si>
    <t>年齡</t>
    <phoneticPr fontId="2" type="noConversion"/>
  </si>
  <si>
    <t>提領
金額</t>
    <phoneticPr fontId="2" type="noConversion"/>
  </si>
  <si>
    <t>年初
餘額</t>
    <phoneticPr fontId="2" type="noConversion"/>
  </si>
  <si>
    <t>報酬
金額</t>
    <phoneticPr fontId="2" type="noConversion"/>
  </si>
  <si>
    <t>年底
餘額</t>
    <phoneticPr fontId="2" type="noConversion"/>
  </si>
  <si>
    <t>年</t>
  </si>
  <si>
    <t>開盤價</t>
    <phoneticPr fontId="6" type="noConversion"/>
  </si>
  <si>
    <t>收盤價</t>
    <phoneticPr fontId="6" type="noConversion"/>
  </si>
  <si>
    <t>設定值</t>
    <phoneticPr fontId="6" type="noConversion"/>
  </si>
  <si>
    <t>QQQ
回報率</t>
    <phoneticPr fontId="6" type="noConversion"/>
  </si>
  <si>
    <t>緊急預備金</t>
    <phoneticPr fontId="6" type="noConversion"/>
  </si>
  <si>
    <t>目標倍數</t>
    <phoneticPr fontId="6" type="noConversion"/>
  </si>
  <si>
    <t>結餘</t>
    <phoneticPr fontId="2" type="noConversion"/>
  </si>
  <si>
    <t>提撥</t>
    <phoneticPr fontId="2" type="noConversion"/>
  </si>
  <si>
    <t>Year</t>
    <phoneticPr fontId="2" type="noConversion"/>
  </si>
  <si>
    <t>Date</t>
    <phoneticPr fontId="2" type="noConversion"/>
  </si>
  <si>
    <t>生活準備金</t>
    <phoneticPr fontId="6" type="noConversion"/>
  </si>
  <si>
    <t>配置</t>
    <phoneticPr fontId="6" type="noConversion"/>
  </si>
  <si>
    <t>群組</t>
    <phoneticPr fontId="6" type="noConversion"/>
  </si>
  <si>
    <t>目標資產</t>
    <phoneticPr fontId="6" type="noConversion"/>
  </si>
  <si>
    <t>年生活費</t>
    <phoneticPr fontId="6" type="noConversion"/>
  </si>
  <si>
    <t>月勞退金</t>
    <phoneticPr fontId="6" type="noConversion"/>
  </si>
  <si>
    <t>月生活費</t>
    <phoneticPr fontId="6" type="noConversion"/>
  </si>
  <si>
    <t>CASH</t>
    <phoneticPr fontId="6" type="noConversion"/>
  </si>
  <si>
    <t>QQQ(%)</t>
    <phoneticPr fontId="6" type="noConversion"/>
  </si>
  <si>
    <t>QLD(%)</t>
    <phoneticPr fontId="6" type="noConversion"/>
  </si>
  <si>
    <t>CASH(%)</t>
    <phoneticPr fontId="6" type="noConversion"/>
  </si>
  <si>
    <t>年化報酬</t>
    <phoneticPr fontId="6" type="noConversion"/>
  </si>
  <si>
    <t>投入年度</t>
    <phoneticPr fontId="6" type="noConversion"/>
  </si>
  <si>
    <t>質押利率(%)</t>
    <phoneticPr fontId="6" type="noConversion"/>
  </si>
  <si>
    <t>貝塔值</t>
    <phoneticPr fontId="6" type="noConversion"/>
  </si>
  <si>
    <t>維持率</t>
    <phoneticPr fontId="6" type="noConversion"/>
  </si>
  <si>
    <t>提領</t>
    <phoneticPr fontId="6" type="noConversion"/>
  </si>
  <si>
    <t>質押提領</t>
    <phoneticPr fontId="6" type="noConversion"/>
  </si>
  <si>
    <t>通膨%</t>
    <phoneticPr fontId="6" type="noConversion"/>
  </si>
  <si>
    <t>市值</t>
    <phoneticPr fontId="6" type="noConversion"/>
  </si>
  <si>
    <t>利息</t>
    <phoneticPr fontId="6" type="noConversion"/>
  </si>
  <si>
    <t>再平衡</t>
    <phoneticPr fontId="2" type="noConversion"/>
  </si>
  <si>
    <t>市值</t>
    <phoneticPr fontId="2" type="noConversion"/>
  </si>
  <si>
    <t>累計</t>
    <phoneticPr fontId="6" type="noConversion"/>
  </si>
  <si>
    <t>年度結算</t>
    <phoneticPr fontId="6" type="noConversion"/>
  </si>
  <si>
    <t>年提領%</t>
    <phoneticPr fontId="6" type="noConversion"/>
  </si>
  <si>
    <t>年化報酬%</t>
    <phoneticPr fontId="6" type="noConversion"/>
  </si>
  <si>
    <t>退休年齡</t>
    <phoneticPr fontId="6" type="noConversion"/>
  </si>
  <si>
    <t>結餘倍數</t>
    <phoneticPr fontId="6" type="noConversion"/>
  </si>
  <si>
    <t>配置年化(%)</t>
    <phoneticPr fontId="6" type="noConversion"/>
  </si>
  <si>
    <t>結餘年化(%)</t>
    <phoneticPr fontId="6" type="noConversion"/>
  </si>
  <si>
    <t>總年化(%)</t>
    <phoneticPr fontId="6" type="noConversion"/>
  </si>
  <si>
    <t>質押維持率</t>
    <phoneticPr fontId="6" type="noConversion"/>
  </si>
  <si>
    <t>①質押</t>
    <phoneticPr fontId="6" type="noConversion"/>
  </si>
  <si>
    <t>②QQQ</t>
    <phoneticPr fontId="6" type="noConversion"/>
  </si>
  <si>
    <t>③QLD</t>
    <phoneticPr fontId="6" type="noConversion"/>
  </si>
  <si>
    <t>④現金</t>
    <phoneticPr fontId="6" type="noConversion"/>
  </si>
  <si>
    <t>⑤再平衡</t>
    <phoneticPr fontId="6" type="noConversion"/>
  </si>
  <si>
    <t>高檔調節</t>
    <phoneticPr fontId="14" type="noConversion"/>
  </si>
  <si>
    <t>低檔調節</t>
    <phoneticPr fontId="14" type="noConversion"/>
  </si>
  <si>
    <t>回檔</t>
    <phoneticPr fontId="14" type="noConversion"/>
  </si>
  <si>
    <t>續效</t>
    <phoneticPr fontId="14" type="noConversion"/>
  </si>
  <si>
    <t>調後</t>
    <phoneticPr fontId="14" type="noConversion"/>
  </si>
  <si>
    <t>00662</t>
    <phoneticPr fontId="2" type="noConversion"/>
  </si>
  <si>
    <t>00670L</t>
    <phoneticPr fontId="2" type="noConversion"/>
  </si>
  <si>
    <t>合計</t>
    <phoneticPr fontId="2" type="noConversion"/>
  </si>
  <si>
    <t>項目</t>
    <phoneticPr fontId="2" type="noConversion"/>
  </si>
  <si>
    <t>比率</t>
    <phoneticPr fontId="2" type="noConversion"/>
  </si>
  <si>
    <t>金額</t>
    <phoneticPr fontId="2" type="noConversion"/>
  </si>
  <si>
    <t>提領率%</t>
    <phoneticPr fontId="6" type="noConversion"/>
  </si>
  <si>
    <t>上漲平衡%</t>
    <phoneticPr fontId="6" type="noConversion"/>
  </si>
  <si>
    <t>下跌平𧗾金</t>
    <phoneticPr fontId="6" type="noConversion"/>
  </si>
  <si>
    <t>是</t>
  </si>
  <si>
    <t>年化報酬%%</t>
    <phoneticPr fontId="2" type="noConversion"/>
  </si>
  <si>
    <t>~</t>
    <phoneticPr fontId="2" type="noConversion"/>
  </si>
  <si>
    <t>投資資金</t>
    <phoneticPr fontId="6" type="noConversion"/>
  </si>
  <si>
    <t>①質押</t>
  </si>
  <si>
    <t>質押利率(%)</t>
  </si>
  <si>
    <t>質押維持率</t>
  </si>
  <si>
    <t>②QQQ</t>
  </si>
  <si>
    <t>③QLD</t>
  </si>
  <si>
    <t>④現金</t>
  </si>
  <si>
    <t>⑤再平衡</t>
  </si>
  <si>
    <t>總年化(%)</t>
  </si>
  <si>
    <t>結餘倍數</t>
  </si>
  <si>
    <t>否</t>
    <phoneticPr fontId="2" type="noConversion"/>
  </si>
  <si>
    <t>結餘年化(%)</t>
  </si>
  <si>
    <t>案例</t>
    <phoneticPr fontId="2" type="noConversion"/>
  </si>
  <si>
    <t>CASH</t>
    <phoneticPr fontId="2" type="noConversion"/>
  </si>
  <si>
    <t>項目
(顏色說明)</t>
    <phoneticPr fontId="6" type="noConversion"/>
  </si>
  <si>
    <t>月淨提領</t>
    <phoneticPr fontId="6" type="noConversion"/>
  </si>
  <si>
    <t>年淨提領</t>
    <phoneticPr fontId="6" type="noConversion"/>
  </si>
  <si>
    <t>狀況</t>
    <phoneticPr fontId="2" type="noConversion"/>
  </si>
  <si>
    <t>4-1</t>
    <phoneticPr fontId="2" type="noConversion"/>
  </si>
  <si>
    <t>5-1</t>
    <phoneticPr fontId="2" type="noConversion"/>
  </si>
  <si>
    <t>是</t>
    <phoneticPr fontId="2" type="noConversion"/>
  </si>
  <si>
    <t>總結餘</t>
    <phoneticPr fontId="6" type="noConversion"/>
  </si>
  <si>
    <t>漲跌%</t>
    <phoneticPr fontId="2" type="noConversion"/>
  </si>
  <si>
    <t>收盤價</t>
    <phoneticPr fontId="2" type="noConversion"/>
  </si>
  <si>
    <t>再平衡</t>
  </si>
  <si>
    <t>有收入</t>
    <phoneticPr fontId="2" type="noConversion"/>
  </si>
  <si>
    <t>退休無收入</t>
    <phoneticPr fontId="2" type="noConversion"/>
  </si>
  <si>
    <t>月收入</t>
    <phoneticPr fontId="6" type="noConversion"/>
  </si>
  <si>
    <t>芭比Q</t>
    <phoneticPr fontId="2" type="noConversion"/>
  </si>
  <si>
    <t>報酬</t>
    <phoneticPr fontId="6" type="noConversion"/>
  </si>
  <si>
    <t>累積報酬%</t>
    <phoneticPr fontId="6" type="noConversion"/>
  </si>
  <si>
    <t>使用說明</t>
    <phoneticPr fontId="2" type="noConversion"/>
  </si>
  <si>
    <t>複製某一欄(某一狀況)的 2~8 列到「434資產配置回測」15列開始之對應欄位(C15~C21)中進行試算。</t>
    <phoneticPr fontId="2" type="noConversion"/>
  </si>
  <si>
    <t>將試算的結果(C30~C32)貼回 9~11 列中，以做為其他狀況之比較。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</si>
</sst>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$&quot;* #,##0.00_-;\-&quot;$&quot;* #,##0.00_-;_-&quot;$&quot;* &quot;-&quot;??_-;_-@_-"/>
    <numFmt numFmtId="43" formatCode="_-* #,##0.00_-;\-* #,##0.00_-;_-* &quot;-&quot;??_-;_-@_-"/>
    <numFmt numFmtId="176" formatCode="_-* #,##0_-;\-* #,##0_-;_-* &quot;-&quot;??_-;_-@_-"/>
    <numFmt numFmtId="177" formatCode="0.000%"/>
    <numFmt numFmtId="178" formatCode="#,##0\ &quot;萬&quot;"/>
    <numFmt numFmtId="179" formatCode="#0"/>
    <numFmt numFmtId="180" formatCode="#,##0\ &quot;歲&quot;"/>
    <numFmt numFmtId="181" formatCode="0_);[Red]\(0\)"/>
    <numFmt numFmtId="182" formatCode="&quot;固定&quot;\ #0\ &quot;萬&quot;"/>
    <numFmt numFmtId="183" formatCode="&quot;固定&quot;\ 0%"/>
    <numFmt numFmtId="184" formatCode="yyyy/mm/dd"/>
    <numFmt numFmtId="185" formatCode="####"/>
    <numFmt numFmtId="186" formatCode="&quot;固定年生活費&quot;\ ##\ &quot;萬&quot;"/>
    <numFmt numFmtId="187" formatCode="#,##0.00\ &quot;萬&quot;"/>
    <numFmt numFmtId="188" formatCode="###,##0.00%"/>
  </numFmts>
  <fonts count="2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indexed="8"/>
      <name val="Calibri"/>
      <family val="2"/>
    </font>
    <font>
      <sz val="9"/>
      <name val="細明體"/>
      <family val="3"/>
      <charset val="136"/>
    </font>
    <font>
      <sz val="12"/>
      <color indexed="8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sz val="12"/>
      <color theme="1"/>
      <name val="新細明體"/>
      <family val="2"/>
      <charset val="136"/>
    </font>
    <font>
      <sz val="9"/>
      <name val="新細明體"/>
      <family val="2"/>
      <charset val="136"/>
    </font>
    <font>
      <sz val="12"/>
      <color rgb="FFFF0000"/>
      <name val="新細明體"/>
      <family val="1"/>
      <charset val="136"/>
      <scheme val="minor"/>
    </font>
    <font>
      <sz val="12"/>
      <color rgb="FF00B050"/>
      <name val="新細明體"/>
      <family val="1"/>
      <charset val="136"/>
      <scheme val="minor"/>
    </font>
    <font>
      <sz val="11"/>
      <color indexed="81"/>
      <name val="細明體"/>
      <family val="3"/>
      <charset val="136"/>
    </font>
    <font>
      <sz val="11"/>
      <color indexed="81"/>
      <name val="Tahoma"/>
      <family val="2"/>
    </font>
    <font>
      <b/>
      <sz val="11"/>
      <color indexed="81"/>
      <name val="細明體"/>
      <family val="3"/>
      <charset val="136"/>
    </font>
    <font>
      <b/>
      <sz val="11"/>
      <color indexed="81"/>
      <name val="Tahoma"/>
      <family val="2"/>
    </font>
    <font>
      <sz val="10"/>
      <color indexed="81"/>
      <name val="細明體"/>
      <family val="3"/>
      <charset val="136"/>
    </font>
    <font>
      <sz val="10"/>
      <color indexed="81"/>
      <name val="Tahoma"/>
      <family val="2"/>
    </font>
    <font>
      <b/>
      <sz val="10"/>
      <color indexed="81"/>
      <name val="細明體"/>
      <family val="3"/>
      <charset val="136"/>
    </font>
    <font>
      <b/>
      <sz val="10"/>
      <color indexed="81"/>
      <name val="Tahoma"/>
      <family val="2"/>
    </font>
    <font>
      <sz val="12"/>
      <name val="新細明體"/>
      <family val="1"/>
      <charset val="136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250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7" fillId="0" borderId="0" xfId="4" applyNumberFormat="1" applyFont="1"/>
    <xf numFmtId="0" fontId="7" fillId="0" borderId="11" xfId="4" applyFont="1" applyBorder="1" applyAlignment="1">
      <alignment horizontal="center"/>
    </xf>
    <xf numFmtId="0" fontId="7" fillId="0" borderId="12" xfId="4" applyFont="1" applyBorder="1" applyAlignment="1">
      <alignment horizontal="center"/>
    </xf>
    <xf numFmtId="0" fontId="7" fillId="0" borderId="0" xfId="4" applyNumberFormat="1" applyFont="1" applyAlignment="1">
      <alignment horizontal="center"/>
    </xf>
    <xf numFmtId="0" fontId="7" fillId="0" borderId="11" xfId="4" applyFont="1" applyBorder="1"/>
    <xf numFmtId="0" fontId="7" fillId="0" borderId="12" xfId="4" applyFont="1" applyBorder="1"/>
    <xf numFmtId="43" fontId="7" fillId="0" borderId="12" xfId="4" applyNumberFormat="1" applyFont="1" applyBorder="1"/>
    <xf numFmtId="176" fontId="7" fillId="10" borderId="2" xfId="3" applyNumberFormat="1" applyFont="1" applyFill="1" applyBorder="1" applyAlignment="1" applyProtection="1">
      <protection locked="0"/>
    </xf>
    <xf numFmtId="178" fontId="8" fillId="10" borderId="2" xfId="1" applyNumberFormat="1" applyFont="1" applyFill="1" applyBorder="1" applyProtection="1">
      <alignment vertical="center"/>
      <protection locked="0"/>
    </xf>
    <xf numFmtId="178" fontId="8" fillId="10" borderId="10" xfId="1" applyNumberFormat="1" applyFont="1" applyFill="1" applyBorder="1" applyProtection="1">
      <alignment vertical="center"/>
      <protection locked="0"/>
    </xf>
    <xf numFmtId="9" fontId="8" fillId="10" borderId="2" xfId="2" applyFont="1" applyFill="1" applyBorder="1" applyProtection="1">
      <alignment vertical="center"/>
      <protection locked="0"/>
    </xf>
    <xf numFmtId="0" fontId="7" fillId="4" borderId="2" xfId="4" applyNumberFormat="1" applyFont="1" applyFill="1" applyBorder="1" applyAlignment="1" applyProtection="1">
      <alignment horizontal="right"/>
      <protection locked="0"/>
    </xf>
    <xf numFmtId="0" fontId="7" fillId="7" borderId="8" xfId="4" applyNumberFormat="1" applyFont="1" applyFill="1" applyBorder="1" applyProtection="1">
      <protection hidden="1"/>
    </xf>
    <xf numFmtId="43" fontId="7" fillId="2" borderId="2" xfId="1" applyFont="1" applyFill="1" applyBorder="1" applyAlignment="1" applyProtection="1">
      <alignment horizontal="centerContinuous" vertical="center" wrapText="1"/>
      <protection hidden="1"/>
    </xf>
    <xf numFmtId="43" fontId="7" fillId="2" borderId="1" xfId="1" applyFont="1" applyFill="1" applyBorder="1" applyAlignment="1" applyProtection="1">
      <alignment horizontal="centerContinuous" vertical="center" wrapText="1"/>
      <protection hidden="1"/>
    </xf>
    <xf numFmtId="43" fontId="7" fillId="11" borderId="2" xfId="1" applyFont="1" applyFill="1" applyBorder="1" applyAlignment="1" applyProtection="1">
      <alignment horizontal="centerContinuous" vertical="center" wrapText="1"/>
      <protection hidden="1"/>
    </xf>
    <xf numFmtId="43" fontId="7" fillId="11" borderId="4" xfId="1" applyFont="1" applyFill="1" applyBorder="1" applyAlignment="1" applyProtection="1">
      <alignment horizontal="centerContinuous" vertical="center" wrapText="1"/>
      <protection hidden="1"/>
    </xf>
    <xf numFmtId="9" fontId="7" fillId="11" borderId="3" xfId="2" applyFont="1" applyFill="1" applyBorder="1" applyAlignment="1" applyProtection="1">
      <alignment horizontal="centerContinuous" vertical="center" wrapText="1"/>
      <protection hidden="1"/>
    </xf>
    <xf numFmtId="43" fontId="7" fillId="2" borderId="1" xfId="1" applyFont="1" applyFill="1" applyBorder="1" applyAlignment="1" applyProtection="1">
      <alignment horizontal="center"/>
      <protection hidden="1"/>
    </xf>
    <xf numFmtId="43" fontId="7" fillId="11" borderId="1" xfId="1" applyFont="1" applyFill="1" applyBorder="1" applyAlignment="1" applyProtection="1">
      <alignment horizontal="center"/>
      <protection hidden="1"/>
    </xf>
    <xf numFmtId="9" fontId="7" fillId="11" borderId="1" xfId="2" applyFont="1" applyFill="1" applyBorder="1" applyAlignment="1" applyProtection="1">
      <alignment horizontal="center"/>
      <protection hidden="1"/>
    </xf>
    <xf numFmtId="176" fontId="0" fillId="2" borderId="1" xfId="1" applyNumberFormat="1" applyFont="1" applyFill="1" applyBorder="1" applyAlignment="1" applyProtection="1">
      <alignment horizontal="center" vertical="center"/>
      <protection hidden="1"/>
    </xf>
    <xf numFmtId="43" fontId="0" fillId="2" borderId="1" xfId="1" applyFont="1" applyFill="1" applyBorder="1" applyAlignment="1" applyProtection="1">
      <alignment horizontal="center" vertical="center"/>
      <protection hidden="1"/>
    </xf>
    <xf numFmtId="43" fontId="0" fillId="11" borderId="1" xfId="1" applyFont="1" applyFill="1" applyBorder="1" applyAlignment="1" applyProtection="1">
      <alignment horizontal="center" vertical="center"/>
      <protection hidden="1"/>
    </xf>
    <xf numFmtId="181" fontId="7" fillId="12" borderId="1" xfId="3" applyNumberFormat="1" applyFont="1" applyFill="1" applyBorder="1" applyAlignment="1" applyProtection="1">
      <alignment horizontal="left" vertical="center"/>
      <protection hidden="1"/>
    </xf>
    <xf numFmtId="176" fontId="7" fillId="7" borderId="8" xfId="3" applyNumberFormat="1" applyFont="1" applyFill="1" applyBorder="1" applyAlignment="1" applyProtection="1">
      <protection hidden="1"/>
    </xf>
    <xf numFmtId="185" fontId="0" fillId="5" borderId="1" xfId="0" applyNumberFormat="1" applyFill="1" applyBorder="1" applyProtection="1">
      <alignment vertical="center"/>
      <protection hidden="1"/>
    </xf>
    <xf numFmtId="43" fontId="7" fillId="7" borderId="6" xfId="1" applyFont="1" applyFill="1" applyBorder="1" applyAlignment="1" applyProtection="1">
      <protection hidden="1"/>
    </xf>
    <xf numFmtId="43" fontId="7" fillId="8" borderId="6" xfId="1" applyFont="1" applyFill="1" applyBorder="1" applyAlignment="1" applyProtection="1">
      <protection hidden="1"/>
    </xf>
    <xf numFmtId="43" fontId="7" fillId="7" borderId="1" xfId="1" applyFont="1" applyFill="1" applyBorder="1" applyAlignment="1" applyProtection="1">
      <protection hidden="1"/>
    </xf>
    <xf numFmtId="176" fontId="0" fillId="7" borderId="1" xfId="1" applyNumberFormat="1" applyFont="1" applyFill="1" applyBorder="1" applyProtection="1">
      <alignment vertical="center"/>
      <protection hidden="1"/>
    </xf>
    <xf numFmtId="43" fontId="0" fillId="14" borderId="1" xfId="1" applyFont="1" applyFill="1" applyBorder="1" applyProtection="1">
      <alignment vertical="center"/>
      <protection hidden="1"/>
    </xf>
    <xf numFmtId="43" fontId="0" fillId="8" borderId="1" xfId="1" applyFont="1" applyFill="1" applyBorder="1" applyProtection="1">
      <alignment vertical="center"/>
      <protection hidden="1"/>
    </xf>
    <xf numFmtId="43" fontId="7" fillId="3" borderId="6" xfId="1" applyFont="1" applyFill="1" applyBorder="1" applyAlignment="1" applyProtection="1">
      <protection hidden="1"/>
    </xf>
    <xf numFmtId="43" fontId="7" fillId="3" borderId="1" xfId="1" applyFont="1" applyFill="1" applyBorder="1" applyAlignment="1" applyProtection="1">
      <protection hidden="1"/>
    </xf>
    <xf numFmtId="9" fontId="7" fillId="3" borderId="1" xfId="2" applyFont="1" applyFill="1" applyBorder="1" applyAlignment="1" applyProtection="1">
      <protection hidden="1"/>
    </xf>
    <xf numFmtId="10" fontId="0" fillId="3" borderId="1" xfId="2" applyNumberFormat="1" applyFont="1" applyFill="1" applyBorder="1" applyProtection="1">
      <alignment vertical="center"/>
      <protection hidden="1"/>
    </xf>
    <xf numFmtId="43" fontId="0" fillId="3" borderId="1" xfId="1" applyFont="1" applyFill="1" applyBorder="1" applyProtection="1">
      <alignment vertical="center"/>
      <protection hidden="1"/>
    </xf>
    <xf numFmtId="178" fontId="8" fillId="3" borderId="2" xfId="1" applyNumberFormat="1" applyFont="1" applyFill="1" applyBorder="1" applyProtection="1">
      <alignment vertical="center"/>
      <protection hidden="1"/>
    </xf>
    <xf numFmtId="10" fontId="8" fillId="3" borderId="2" xfId="2" applyNumberFormat="1" applyFont="1" applyFill="1" applyBorder="1" applyProtection="1">
      <alignment vertical="center"/>
      <protection hidden="1"/>
    </xf>
    <xf numFmtId="43" fontId="8" fillId="3" borderId="2" xfId="1" applyFont="1" applyFill="1" applyBorder="1" applyProtection="1">
      <alignment vertical="center"/>
      <protection hidden="1"/>
    </xf>
    <xf numFmtId="176" fontId="0" fillId="3" borderId="1" xfId="1" applyNumberFormat="1" applyFont="1" applyFill="1" applyBorder="1" applyProtection="1">
      <alignment vertical="center"/>
      <protection hidden="1"/>
    </xf>
    <xf numFmtId="0" fontId="7" fillId="13" borderId="1" xfId="4" applyNumberFormat="1" applyFont="1" applyFill="1" applyBorder="1" applyAlignment="1" applyProtection="1">
      <alignment horizontal="center" vertical="center" textRotation="255" wrapText="1"/>
      <protection hidden="1"/>
    </xf>
    <xf numFmtId="0" fontId="7" fillId="0" borderId="1" xfId="4" applyNumberFormat="1" applyFont="1" applyBorder="1" applyAlignment="1" applyProtection="1">
      <alignment horizontal="left"/>
      <protection hidden="1"/>
    </xf>
    <xf numFmtId="0" fontId="7" fillId="0" borderId="2" xfId="4" applyNumberFormat="1" applyFont="1" applyBorder="1" applyProtection="1">
      <protection hidden="1"/>
    </xf>
    <xf numFmtId="43" fontId="7" fillId="0" borderId="1" xfId="1" applyFont="1" applyBorder="1" applyAlignment="1" applyProtection="1">
      <protection hidden="1"/>
    </xf>
    <xf numFmtId="9" fontId="7" fillId="0" borderId="1" xfId="2" applyFont="1" applyBorder="1" applyAlignment="1" applyProtection="1">
      <protection hidden="1"/>
    </xf>
    <xf numFmtId="44" fontId="7" fillId="2" borderId="1" xfId="6" applyFont="1" applyFill="1" applyBorder="1" applyAlignment="1" applyProtection="1">
      <alignment horizontal="center" vertical="center"/>
      <protection hidden="1"/>
    </xf>
    <xf numFmtId="0" fontId="7" fillId="2" borderId="1" xfId="4" applyNumberFormat="1" applyFont="1" applyFill="1" applyBorder="1" applyAlignment="1" applyProtection="1">
      <alignment horizontal="center"/>
      <protection hidden="1"/>
    </xf>
    <xf numFmtId="181" fontId="7" fillId="13" borderId="1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6" borderId="9" xfId="3" applyNumberFormat="1" applyFont="1" applyFill="1" applyBorder="1" applyAlignment="1" applyProtection="1">
      <alignment horizontal="center" vertical="center"/>
      <protection hidden="1"/>
    </xf>
    <xf numFmtId="10" fontId="7" fillId="3" borderId="6" xfId="5" applyNumberFormat="1" applyFont="1" applyFill="1" applyBorder="1" applyAlignment="1" applyProtection="1">
      <protection hidden="1"/>
    </xf>
    <xf numFmtId="43" fontId="7" fillId="14" borderId="6" xfId="3" applyFont="1" applyFill="1" applyBorder="1" applyAlignment="1" applyProtection="1">
      <protection hidden="1"/>
    </xf>
    <xf numFmtId="181" fontId="7" fillId="6" borderId="4" xfId="3" applyNumberFormat="1" applyFont="1" applyFill="1" applyBorder="1" applyAlignment="1" applyProtection="1">
      <alignment horizontal="center" vertical="center"/>
      <protection hidden="1"/>
    </xf>
    <xf numFmtId="10" fontId="7" fillId="3" borderId="1" xfId="5" applyNumberFormat="1" applyFont="1" applyFill="1" applyBorder="1" applyAlignment="1" applyProtection="1">
      <protection hidden="1"/>
    </xf>
    <xf numFmtId="43" fontId="7" fillId="14" borderId="1" xfId="3" applyFont="1" applyFill="1" applyBorder="1" applyAlignment="1" applyProtection="1">
      <protection hidden="1"/>
    </xf>
    <xf numFmtId="0" fontId="7" fillId="10" borderId="1" xfId="4" applyNumberFormat="1" applyFont="1" applyFill="1" applyBorder="1" applyAlignment="1" applyProtection="1">
      <alignment horizontal="left"/>
      <protection hidden="1"/>
    </xf>
    <xf numFmtId="0" fontId="7" fillId="10" borderId="2" xfId="4" applyNumberFormat="1" applyFont="1" applyFill="1" applyBorder="1" applyProtection="1">
      <protection hidden="1"/>
    </xf>
    <xf numFmtId="181" fontId="7" fillId="0" borderId="4" xfId="3" applyNumberFormat="1" applyFont="1" applyBorder="1" applyAlignment="1" applyProtection="1">
      <alignment horizontal="center" vertical="center"/>
      <protection hidden="1"/>
    </xf>
    <xf numFmtId="43" fontId="7" fillId="0" borderId="1" xfId="3" applyFont="1" applyBorder="1" applyAlignment="1" applyProtection="1">
      <protection hidden="1"/>
    </xf>
    <xf numFmtId="0" fontId="7" fillId="0" borderId="1" xfId="4" applyNumberFormat="1" applyFont="1" applyBorder="1" applyProtection="1">
      <protection hidden="1"/>
    </xf>
    <xf numFmtId="44" fontId="7" fillId="0" borderId="1" xfId="6" applyFont="1" applyBorder="1" applyAlignment="1" applyProtection="1">
      <protection hidden="1"/>
    </xf>
    <xf numFmtId="0" fontId="0" fillId="7" borderId="8" xfId="0" applyFill="1" applyBorder="1" applyProtection="1">
      <alignment vertical="center"/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43" fontId="0" fillId="11" borderId="1" xfId="1" applyFont="1" applyFill="1" applyBorder="1" applyAlignment="1" applyProtection="1">
      <alignment horizontal="center" vertical="center" wrapText="1"/>
      <protection hidden="1"/>
    </xf>
    <xf numFmtId="0" fontId="0" fillId="2" borderId="1" xfId="0" applyFill="1" applyBorder="1" applyAlignment="1" applyProtection="1">
      <alignment horizontal="center" vertical="center" wrapText="1"/>
      <protection hidden="1"/>
    </xf>
    <xf numFmtId="43" fontId="0" fillId="2" borderId="1" xfId="1" applyFont="1" applyFill="1" applyBorder="1" applyAlignment="1" applyProtection="1">
      <alignment horizontal="center" vertical="center" wrapText="1"/>
      <protection hidden="1"/>
    </xf>
    <xf numFmtId="176" fontId="0" fillId="9" borderId="4" xfId="1" applyNumberFormat="1" applyFont="1" applyFill="1" applyBorder="1" applyAlignment="1" applyProtection="1">
      <alignment horizontal="center" vertical="center"/>
      <protection hidden="1"/>
    </xf>
    <xf numFmtId="176" fontId="0" fillId="8" borderId="1" xfId="1" applyNumberFormat="1" applyFont="1" applyFill="1" applyBorder="1" applyProtection="1">
      <alignment vertical="center"/>
      <protection hidden="1"/>
    </xf>
    <xf numFmtId="40" fontId="0" fillId="8" borderId="1" xfId="0" applyNumberFormat="1" applyFill="1" applyBorder="1" applyProtection="1">
      <alignment vertical="center"/>
      <protection hidden="1"/>
    </xf>
    <xf numFmtId="40" fontId="0" fillId="3" borderId="1" xfId="0" applyNumberFormat="1" applyFill="1" applyBorder="1" applyProtection="1">
      <alignment vertical="center"/>
      <protection hidden="1"/>
    </xf>
    <xf numFmtId="178" fontId="0" fillId="3" borderId="2" xfId="1" applyNumberFormat="1" applyFont="1" applyFill="1" applyBorder="1" applyProtection="1">
      <alignment vertical="center"/>
      <protection hidden="1"/>
    </xf>
    <xf numFmtId="0" fontId="0" fillId="10" borderId="2" xfId="0" applyFill="1" applyBorder="1" applyProtection="1">
      <alignment vertical="center"/>
      <protection hidden="1"/>
    </xf>
    <xf numFmtId="0" fontId="0" fillId="3" borderId="1" xfId="0" applyFill="1" applyBorder="1" applyProtection="1">
      <alignment vertical="center"/>
      <protection hidden="1"/>
    </xf>
    <xf numFmtId="9" fontId="0" fillId="10" borderId="2" xfId="2" applyFont="1" applyFill="1" applyBorder="1" applyProtection="1">
      <alignment vertical="center"/>
      <protection locked="0"/>
    </xf>
    <xf numFmtId="180" fontId="0" fillId="10" borderId="2" xfId="1" applyNumberFormat="1" applyFont="1" applyFill="1" applyBorder="1" applyProtection="1">
      <alignment vertical="center"/>
      <protection locked="0"/>
    </xf>
    <xf numFmtId="178" fontId="0" fillId="10" borderId="2" xfId="1" applyNumberFormat="1" applyFont="1" applyFill="1" applyBorder="1" applyProtection="1">
      <alignment vertical="center"/>
      <protection locked="0"/>
    </xf>
    <xf numFmtId="179" fontId="0" fillId="10" borderId="2" xfId="1" applyNumberFormat="1" applyFont="1" applyFill="1" applyBorder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hidden="1"/>
    </xf>
    <xf numFmtId="49" fontId="0" fillId="2" borderId="3" xfId="0" applyNumberFormat="1" applyFill="1" applyBorder="1" applyAlignment="1" applyProtection="1">
      <alignment horizontal="right" vertical="center"/>
      <protection hidden="1"/>
    </xf>
    <xf numFmtId="0" fontId="0" fillId="6" borderId="1" xfId="0" applyFill="1" applyBorder="1" applyProtection="1">
      <alignment vertical="center"/>
      <protection hidden="1"/>
    </xf>
    <xf numFmtId="43" fontId="0" fillId="3" borderId="3" xfId="0" applyNumberFormat="1" applyFill="1" applyBorder="1" applyAlignment="1" applyProtection="1">
      <alignment horizontal="right" vertical="center"/>
      <protection hidden="1"/>
    </xf>
    <xf numFmtId="0" fontId="0" fillId="5" borderId="1" xfId="0" applyFill="1" applyBorder="1" applyProtection="1">
      <alignment vertical="center"/>
      <protection hidden="1"/>
    </xf>
    <xf numFmtId="43" fontId="0" fillId="4" borderId="1" xfId="1" applyFont="1" applyFill="1" applyBorder="1" applyProtection="1">
      <alignment vertical="center"/>
      <protection hidden="1"/>
    </xf>
    <xf numFmtId="43" fontId="0" fillId="3" borderId="1" xfId="0" applyNumberFormat="1" applyFill="1" applyBorder="1" applyProtection="1">
      <alignment vertical="center"/>
      <protection hidden="1"/>
    </xf>
    <xf numFmtId="14" fontId="0" fillId="5" borderId="1" xfId="0" applyNumberFormat="1" applyFill="1" applyBorder="1" applyProtection="1">
      <alignment vertical="center"/>
      <protection hidden="1"/>
    </xf>
    <xf numFmtId="177" fontId="0" fillId="3" borderId="1" xfId="2" applyNumberFormat="1" applyFont="1" applyFill="1" applyBorder="1" applyProtection="1">
      <alignment vertical="center"/>
      <protection hidden="1"/>
    </xf>
    <xf numFmtId="49" fontId="0" fillId="2" borderId="1" xfId="0" applyNumberFormat="1" applyFill="1" applyBorder="1" applyAlignment="1" applyProtection="1">
      <alignment horizontal="center" vertical="center"/>
      <protection hidden="1"/>
    </xf>
    <xf numFmtId="49" fontId="0" fillId="5" borderId="1" xfId="0" applyNumberFormat="1" applyFill="1" applyBorder="1" applyProtection="1">
      <alignment vertical="center"/>
      <protection hidden="1"/>
    </xf>
    <xf numFmtId="49" fontId="0" fillId="4" borderId="1" xfId="0" applyNumberFormat="1" applyFill="1" applyBorder="1" applyAlignment="1" applyProtection="1">
      <alignment horizontal="right" vertical="center"/>
      <protection locked="0"/>
    </xf>
    <xf numFmtId="184" fontId="0" fillId="2" borderId="1" xfId="0" applyNumberFormat="1" applyFill="1" applyBorder="1" applyAlignment="1" applyProtection="1">
      <alignment horizontal="center" vertical="center"/>
      <protection hidden="1"/>
    </xf>
    <xf numFmtId="184" fontId="0" fillId="5" borderId="1" xfId="0" applyNumberFormat="1" applyFill="1" applyBorder="1" applyProtection="1">
      <alignment vertical="center"/>
      <protection hidden="1"/>
    </xf>
    <xf numFmtId="181" fontId="7" fillId="15" borderId="1" xfId="3" applyNumberFormat="1" applyFont="1" applyFill="1" applyBorder="1" applyAlignment="1" applyProtection="1">
      <alignment horizontal="left" vertical="center"/>
      <protection hidden="1"/>
    </xf>
    <xf numFmtId="0" fontId="13" fillId="0" borderId="0" xfId="8">
      <alignment vertical="center"/>
    </xf>
    <xf numFmtId="9" fontId="0" fillId="16" borderId="1" xfId="7" applyFon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9" fontId="0" fillId="16" borderId="1" xfId="7" applyFont="1" applyFill="1" applyBorder="1">
      <alignment vertical="center"/>
    </xf>
    <xf numFmtId="9" fontId="0" fillId="10" borderId="1" xfId="7" applyFont="1" applyFill="1" applyBorder="1">
      <alignment vertical="center"/>
    </xf>
    <xf numFmtId="176" fontId="0" fillId="16" borderId="1" xfId="9" applyNumberFormat="1" applyFont="1" applyFill="1" applyBorder="1">
      <alignment vertical="center"/>
    </xf>
    <xf numFmtId="9" fontId="0" fillId="0" borderId="0" xfId="7" applyFont="1">
      <alignment vertical="center"/>
    </xf>
    <xf numFmtId="176" fontId="0" fillId="0" borderId="0" xfId="9" applyNumberFormat="1" applyFont="1">
      <alignment vertical="center"/>
    </xf>
    <xf numFmtId="9" fontId="0" fillId="3" borderId="1" xfId="7" applyFont="1" applyFill="1" applyBorder="1">
      <alignment vertical="center"/>
    </xf>
    <xf numFmtId="10" fontId="0" fillId="16" borderId="1" xfId="7" applyNumberFormat="1" applyFont="1" applyFill="1" applyBorder="1" applyAlignment="1">
      <alignment vertical="center"/>
    </xf>
    <xf numFmtId="176" fontId="0" fillId="16" borderId="1" xfId="7" applyNumberFormat="1" applyFont="1" applyFill="1" applyBorder="1" applyAlignment="1">
      <alignment vertical="center"/>
    </xf>
    <xf numFmtId="0" fontId="13" fillId="2" borderId="1" xfId="8" applyFill="1" applyBorder="1" applyAlignment="1">
      <alignment horizontal="center" vertical="center"/>
    </xf>
    <xf numFmtId="49" fontId="0" fillId="5" borderId="1" xfId="7" applyNumberFormat="1" applyFont="1" applyFill="1" applyBorder="1" applyAlignment="1">
      <alignment vertical="center"/>
    </xf>
    <xf numFmtId="0" fontId="1" fillId="5" borderId="1" xfId="8" applyFont="1" applyFill="1" applyBorder="1">
      <alignment vertical="center"/>
    </xf>
    <xf numFmtId="0" fontId="0" fillId="5" borderId="1" xfId="0" applyFill="1" applyBorder="1" applyAlignment="1" applyProtection="1">
      <alignment horizontal="center" vertical="center"/>
      <protection hidden="1"/>
    </xf>
    <xf numFmtId="43" fontId="0" fillId="4" borderId="1" xfId="1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49" fontId="0" fillId="5" borderId="1" xfId="0" applyNumberFormat="1" applyFill="1" applyBorder="1" applyAlignment="1" applyProtection="1">
      <alignment horizontal="center" vertical="center"/>
      <protection hidden="1"/>
    </xf>
    <xf numFmtId="178" fontId="0" fillId="3" borderId="2" xfId="1" applyNumberFormat="1" applyFont="1" applyFill="1" applyBorder="1" applyProtection="1">
      <alignment vertical="center"/>
      <protection locked="0"/>
    </xf>
    <xf numFmtId="181" fontId="7" fillId="9" borderId="1" xfId="3" applyNumberFormat="1" applyFont="1" applyFill="1" applyBorder="1" applyAlignment="1" applyProtection="1">
      <alignment horizontal="left" vertical="center"/>
      <protection hidden="1"/>
    </xf>
    <xf numFmtId="181" fontId="7" fillId="9" borderId="6" xfId="3" applyNumberFormat="1" applyFont="1" applyFill="1" applyBorder="1" applyAlignment="1" applyProtection="1">
      <alignment horizontal="left" vertical="center"/>
      <protection hidden="1"/>
    </xf>
    <xf numFmtId="0" fontId="7" fillId="9" borderId="1" xfId="4" applyNumberFormat="1" applyFont="1" applyFill="1" applyBorder="1" applyAlignment="1" applyProtection="1">
      <alignment horizontal="left"/>
      <protection hidden="1"/>
    </xf>
    <xf numFmtId="178" fontId="8" fillId="3" borderId="10" xfId="1" applyNumberFormat="1" applyFont="1" applyFill="1" applyBorder="1" applyProtection="1">
      <alignment vertical="center"/>
      <protection locked="0"/>
    </xf>
    <xf numFmtId="176" fontId="0" fillId="10" borderId="1" xfId="9" applyNumberFormat="1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9" borderId="1" xfId="0" applyFill="1" applyBorder="1">
      <alignment vertical="center"/>
    </xf>
    <xf numFmtId="10" fontId="0" fillId="4" borderId="1" xfId="2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10" fontId="7" fillId="12" borderId="1" xfId="2" applyNumberFormat="1" applyFont="1" applyFill="1" applyBorder="1" applyAlignment="1" applyProtection="1">
      <alignment horizontal="left" vertical="center"/>
      <protection hidden="1"/>
    </xf>
    <xf numFmtId="10" fontId="0" fillId="0" borderId="1" xfId="2" applyNumberFormat="1" applyFont="1" applyBorder="1">
      <alignment vertical="center"/>
    </xf>
    <xf numFmtId="43" fontId="15" fillId="3" borderId="2" xfId="1" applyFont="1" applyFill="1" applyBorder="1" applyProtection="1">
      <alignment vertical="center"/>
      <protection hidden="1"/>
    </xf>
    <xf numFmtId="10" fontId="15" fillId="3" borderId="2" xfId="2" applyNumberFormat="1" applyFont="1" applyFill="1" applyBorder="1" applyProtection="1">
      <alignment vertical="center"/>
      <protection hidden="1"/>
    </xf>
    <xf numFmtId="43" fontId="16" fillId="3" borderId="2" xfId="1" applyFont="1" applyFill="1" applyBorder="1" applyProtection="1">
      <alignment vertical="center"/>
      <protection hidden="1"/>
    </xf>
    <xf numFmtId="10" fontId="16" fillId="3" borderId="2" xfId="2" applyNumberFormat="1" applyFont="1" applyFill="1" applyBorder="1" applyProtection="1">
      <alignment vertical="center"/>
      <protection hidden="1"/>
    </xf>
    <xf numFmtId="43" fontId="0" fillId="3" borderId="0" xfId="1" applyFont="1" applyFill="1">
      <alignment vertical="center"/>
    </xf>
    <xf numFmtId="9" fontId="0" fillId="4" borderId="1" xfId="2" applyFont="1" applyFill="1" applyBorder="1">
      <alignment vertical="center"/>
    </xf>
    <xf numFmtId="9" fontId="0" fillId="0" borderId="1" xfId="2" applyFont="1" applyBorder="1">
      <alignment vertical="center"/>
    </xf>
    <xf numFmtId="43" fontId="7" fillId="11" borderId="6" xfId="1" applyFont="1" applyFill="1" applyBorder="1" applyAlignment="1" applyProtection="1">
      <protection hidden="1"/>
    </xf>
    <xf numFmtId="43" fontId="0" fillId="11" borderId="1" xfId="1" applyFont="1" applyFill="1" applyBorder="1" applyProtection="1">
      <alignment vertical="center"/>
      <protection hidden="1"/>
    </xf>
    <xf numFmtId="43" fontId="25" fillId="3" borderId="2" xfId="1" applyFont="1" applyFill="1" applyBorder="1" applyProtection="1">
      <alignment vertical="center"/>
      <protection hidden="1"/>
    </xf>
    <xf numFmtId="10" fontId="25" fillId="3" borderId="2" xfId="2" applyNumberFormat="1" applyFont="1" applyFill="1" applyBorder="1" applyProtection="1">
      <alignment vertical="center"/>
      <protection hidden="1"/>
    </xf>
    <xf numFmtId="49" fontId="25" fillId="3" borderId="2" xfId="1" applyNumberFormat="1" applyFont="1" applyFill="1" applyBorder="1" applyAlignment="1" applyProtection="1">
      <alignment horizontal="center" vertical="center"/>
      <protection hidden="1"/>
    </xf>
    <xf numFmtId="43" fontId="15" fillId="3" borderId="2" xfId="1" applyFont="1" applyFill="1" applyBorder="1" applyAlignment="1" applyProtection="1">
      <alignment horizontal="center" vertical="center"/>
      <protection hidden="1"/>
    </xf>
    <xf numFmtId="0" fontId="0" fillId="11" borderId="1" xfId="0" applyFill="1" applyBorder="1" applyAlignment="1">
      <alignment horizontal="center" vertical="center"/>
    </xf>
    <xf numFmtId="188" fontId="8" fillId="3" borderId="2" xfId="2" applyNumberFormat="1" applyFont="1" applyFill="1" applyBorder="1" applyProtection="1">
      <alignment vertical="center"/>
      <protection hidden="1"/>
    </xf>
    <xf numFmtId="43" fontId="8" fillId="18" borderId="2" xfId="1" applyFont="1" applyFill="1" applyBorder="1" applyProtection="1">
      <alignment vertical="center"/>
      <protection hidden="1"/>
    </xf>
    <xf numFmtId="43" fontId="15" fillId="18" borderId="2" xfId="1" applyFont="1" applyFill="1" applyBorder="1" applyProtection="1">
      <alignment vertical="center"/>
      <protection hidden="1"/>
    </xf>
    <xf numFmtId="43" fontId="25" fillId="18" borderId="2" xfId="1" applyFont="1" applyFill="1" applyBorder="1" applyProtection="1">
      <alignment vertical="center"/>
      <protection hidden="1"/>
    </xf>
    <xf numFmtId="10" fontId="8" fillId="18" borderId="2" xfId="2" applyNumberFormat="1" applyFont="1" applyFill="1" applyBorder="1" applyProtection="1">
      <alignment vertical="center"/>
      <protection hidden="1"/>
    </xf>
    <xf numFmtId="10" fontId="15" fillId="18" borderId="2" xfId="2" applyNumberFormat="1" applyFont="1" applyFill="1" applyBorder="1" applyProtection="1">
      <alignment vertical="center"/>
      <protection hidden="1"/>
    </xf>
    <xf numFmtId="10" fontId="25" fillId="18" borderId="2" xfId="2" applyNumberFormat="1" applyFont="1" applyFill="1" applyBorder="1" applyProtection="1">
      <alignment vertical="center"/>
      <protection hidden="1"/>
    </xf>
    <xf numFmtId="9" fontId="7" fillId="4" borderId="2" xfId="4" applyNumberFormat="1" applyFont="1" applyFill="1" applyBorder="1" applyAlignment="1" applyProtection="1">
      <alignment horizontal="right" vertical="center"/>
      <protection locked="0"/>
    </xf>
    <xf numFmtId="178" fontId="8" fillId="10" borderId="2" xfId="1" applyNumberFormat="1" applyFont="1" applyFill="1" applyBorder="1" applyAlignment="1" applyProtection="1">
      <alignment horizontal="right" vertical="center"/>
      <protection locked="0"/>
    </xf>
    <xf numFmtId="187" fontId="8" fillId="10" borderId="10" xfId="1" applyNumberFormat="1" applyFont="1" applyFill="1" applyBorder="1" applyAlignment="1" applyProtection="1">
      <alignment horizontal="right" vertical="center"/>
      <protection locked="0"/>
    </xf>
    <xf numFmtId="187" fontId="8" fillId="10" borderId="2" xfId="1" applyNumberFormat="1" applyFont="1" applyFill="1" applyBorder="1" applyAlignment="1" applyProtection="1">
      <alignment horizontal="right" vertical="center"/>
      <protection locked="0"/>
    </xf>
    <xf numFmtId="187" fontId="8" fillId="3" borderId="2" xfId="1" applyNumberFormat="1" applyFont="1" applyFill="1" applyBorder="1" applyAlignment="1" applyProtection="1">
      <alignment horizontal="right" vertical="center"/>
      <protection hidden="1"/>
    </xf>
    <xf numFmtId="178" fontId="8" fillId="3" borderId="10" xfId="1" applyNumberFormat="1" applyFont="1" applyFill="1" applyBorder="1" applyAlignment="1" applyProtection="1">
      <alignment horizontal="right" vertical="center"/>
      <protection hidden="1"/>
    </xf>
    <xf numFmtId="178" fontId="8" fillId="3" borderId="2" xfId="1" applyNumberFormat="1" applyFont="1" applyFill="1" applyBorder="1" applyAlignment="1" applyProtection="1">
      <alignment horizontal="right" vertical="center"/>
      <protection hidden="1"/>
    </xf>
    <xf numFmtId="10" fontId="8" fillId="3" borderId="2" xfId="2" applyNumberFormat="1" applyFont="1" applyFill="1" applyBorder="1" applyAlignment="1" applyProtection="1">
      <alignment horizontal="right" vertical="center"/>
      <protection hidden="1"/>
    </xf>
    <xf numFmtId="176" fontId="7" fillId="10" borderId="2" xfId="3" applyNumberFormat="1" applyFont="1" applyFill="1" applyBorder="1" applyAlignment="1" applyProtection="1">
      <alignment horizontal="right" vertical="center"/>
      <protection locked="0"/>
    </xf>
    <xf numFmtId="181" fontId="7" fillId="10" borderId="2" xfId="1" applyNumberFormat="1" applyFont="1" applyFill="1" applyBorder="1" applyAlignment="1" applyProtection="1">
      <alignment horizontal="right" vertical="center"/>
      <protection locked="0"/>
    </xf>
    <xf numFmtId="9" fontId="8" fillId="10" borderId="2" xfId="2" applyFont="1" applyFill="1" applyBorder="1" applyAlignment="1" applyProtection="1">
      <alignment horizontal="right" vertical="center"/>
      <protection locked="0"/>
    </xf>
    <xf numFmtId="181" fontId="7" fillId="10" borderId="2" xfId="4" applyNumberFormat="1" applyFont="1" applyFill="1" applyBorder="1" applyAlignment="1" applyProtection="1">
      <alignment horizontal="right" vertical="center"/>
      <protection locked="0"/>
    </xf>
    <xf numFmtId="43" fontId="8" fillId="3" borderId="2" xfId="1" applyFont="1" applyFill="1" applyBorder="1" applyAlignment="1" applyProtection="1">
      <alignment horizontal="right" vertical="center"/>
      <protection hidden="1"/>
    </xf>
    <xf numFmtId="181" fontId="7" fillId="3" borderId="2" xfId="4" applyNumberFormat="1" applyFont="1" applyFill="1" applyBorder="1" applyAlignment="1" applyProtection="1">
      <alignment horizontal="right" vertical="center"/>
      <protection hidden="1"/>
    </xf>
    <xf numFmtId="9" fontId="0" fillId="9" borderId="1" xfId="2" applyFont="1" applyFill="1" applyBorder="1">
      <alignment vertical="center"/>
    </xf>
    <xf numFmtId="10" fontId="7" fillId="10" borderId="2" xfId="2" applyNumberFormat="1" applyFont="1" applyFill="1" applyBorder="1" applyAlignment="1" applyProtection="1">
      <alignment horizontal="right" vertical="center"/>
      <protection locked="0"/>
    </xf>
    <xf numFmtId="9" fontId="7" fillId="10" borderId="2" xfId="4" applyNumberFormat="1" applyFont="1" applyFill="1" applyBorder="1" applyAlignment="1" applyProtection="1">
      <alignment horizontal="right" vertical="center"/>
      <protection locked="0"/>
    </xf>
    <xf numFmtId="185" fontId="0" fillId="2" borderId="5" xfId="0" applyNumberFormat="1" applyFill="1" applyBorder="1" applyAlignment="1" applyProtection="1">
      <alignment horizontal="center" vertical="center"/>
      <protection hidden="1"/>
    </xf>
    <xf numFmtId="185" fontId="0" fillId="2" borderId="6" xfId="0" applyNumberFormat="1" applyFill="1" applyBorder="1" applyAlignment="1" applyProtection="1">
      <alignment horizontal="center" vertical="center"/>
      <protection hidden="1"/>
    </xf>
    <xf numFmtId="43" fontId="0" fillId="2" borderId="2" xfId="1" applyFont="1" applyFill="1" applyBorder="1" applyAlignment="1" applyProtection="1">
      <alignment horizontal="center" vertical="center"/>
      <protection hidden="1"/>
    </xf>
    <xf numFmtId="43" fontId="0" fillId="2" borderId="3" xfId="1" applyFont="1" applyFill="1" applyBorder="1" applyAlignment="1" applyProtection="1">
      <alignment horizontal="center" vertical="center"/>
      <protection hidden="1"/>
    </xf>
    <xf numFmtId="43" fontId="0" fillId="2" borderId="4" xfId="1" applyFont="1" applyFill="1" applyBorder="1" applyAlignment="1" applyProtection="1">
      <alignment horizontal="center" vertical="center"/>
      <protection hidden="1"/>
    </xf>
    <xf numFmtId="49" fontId="0" fillId="2" borderId="2" xfId="0" applyNumberFormat="1" applyFill="1" applyBorder="1" applyAlignment="1" applyProtection="1">
      <alignment horizontal="right" vertical="center"/>
      <protection hidden="1"/>
    </xf>
    <xf numFmtId="49" fontId="0" fillId="2" borderId="3" xfId="0" applyNumberFormat="1" applyFill="1" applyBorder="1" applyAlignment="1" applyProtection="1">
      <alignment horizontal="right" vertical="center"/>
      <protection hidden="1"/>
    </xf>
    <xf numFmtId="49" fontId="0" fillId="2" borderId="4" xfId="0" applyNumberFormat="1" applyFill="1" applyBorder="1" applyAlignment="1" applyProtection="1">
      <alignment horizontal="right" vertical="center"/>
      <protection hidden="1"/>
    </xf>
    <xf numFmtId="43" fontId="0" fillId="4" borderId="2" xfId="0" applyNumberFormat="1" applyFill="1" applyBorder="1" applyAlignment="1" applyProtection="1">
      <alignment horizontal="center" vertical="center"/>
      <protection locked="0"/>
    </xf>
    <xf numFmtId="43" fontId="0" fillId="4" borderId="4" xfId="0" applyNumberFormat="1" applyFill="1" applyBorder="1" applyAlignment="1" applyProtection="1">
      <alignment horizontal="center" vertical="center"/>
      <protection locked="0"/>
    </xf>
    <xf numFmtId="43" fontId="0" fillId="3" borderId="2" xfId="0" applyNumberFormat="1" applyFill="1" applyBorder="1" applyProtection="1">
      <alignment vertical="center"/>
      <protection hidden="1"/>
    </xf>
    <xf numFmtId="43" fontId="0" fillId="3" borderId="4" xfId="0" applyNumberFormat="1" applyFill="1" applyBorder="1" applyProtection="1">
      <alignment vertical="center"/>
      <protection hidden="1"/>
    </xf>
    <xf numFmtId="0" fontId="0" fillId="3" borderId="4" xfId="0" applyFill="1" applyBorder="1" applyProtection="1">
      <alignment vertical="center"/>
      <protection hidden="1"/>
    </xf>
    <xf numFmtId="43" fontId="0" fillId="8" borderId="2" xfId="0" applyNumberFormat="1" applyFill="1" applyBorder="1" applyProtection="1">
      <alignment vertical="center"/>
      <protection hidden="1"/>
    </xf>
    <xf numFmtId="43" fontId="0" fillId="8" borderId="4" xfId="0" applyNumberFormat="1" applyFill="1" applyBorder="1" applyProtection="1">
      <alignment vertical="center"/>
      <protection hidden="1"/>
    </xf>
    <xf numFmtId="10" fontId="0" fillId="3" borderId="2" xfId="2" applyNumberFormat="1" applyFont="1" applyFill="1" applyBorder="1" applyProtection="1">
      <alignment vertical="center"/>
      <protection hidden="1"/>
    </xf>
    <xf numFmtId="10" fontId="0" fillId="3" borderId="4" xfId="2" applyNumberFormat="1" applyFont="1" applyFill="1" applyBorder="1" applyProtection="1">
      <alignment vertical="center"/>
      <protection hidden="1"/>
    </xf>
    <xf numFmtId="177" fontId="0" fillId="3" borderId="2" xfId="2" applyNumberFormat="1" applyFont="1" applyFill="1" applyBorder="1" applyProtection="1">
      <alignment vertical="center"/>
      <protection hidden="1"/>
    </xf>
    <xf numFmtId="177" fontId="0" fillId="3" borderId="4" xfId="2" applyNumberFormat="1" applyFont="1" applyFill="1" applyBorder="1" applyProtection="1">
      <alignment vertical="center"/>
      <protection hidden="1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horizontal="center" vertical="center"/>
      <protection hidden="1"/>
    </xf>
    <xf numFmtId="49" fontId="0" fillId="2" borderId="5" xfId="0" applyNumberFormat="1" applyFill="1" applyBorder="1" applyAlignment="1" applyProtection="1">
      <alignment horizontal="center" vertical="center"/>
      <protection hidden="1"/>
    </xf>
    <xf numFmtId="49" fontId="0" fillId="2" borderId="6" xfId="0" applyNumberFormat="1" applyFill="1" applyBorder="1" applyAlignment="1" applyProtection="1">
      <alignment horizontal="center" vertical="center"/>
      <protection hidden="1"/>
    </xf>
    <xf numFmtId="43" fontId="4" fillId="6" borderId="2" xfId="1" applyFont="1" applyFill="1" applyBorder="1" applyAlignment="1" applyProtection="1">
      <alignment horizontal="right" vertical="center"/>
      <protection hidden="1"/>
    </xf>
    <xf numFmtId="43" fontId="4" fillId="6" borderId="3" xfId="1" applyFont="1" applyFill="1" applyBorder="1" applyAlignment="1" applyProtection="1">
      <alignment horizontal="right" vertical="center"/>
      <protection hidden="1"/>
    </xf>
    <xf numFmtId="43" fontId="4" fillId="6" borderId="4" xfId="1" applyFont="1" applyFill="1" applyBorder="1" applyAlignment="1" applyProtection="1">
      <alignment horizontal="right" vertical="center"/>
      <protection hidden="1"/>
    </xf>
    <xf numFmtId="49" fontId="0" fillId="2" borderId="1" xfId="0" applyNumberFormat="1" applyFill="1" applyBorder="1" applyAlignment="1" applyProtection="1">
      <alignment horizontal="right" vertical="center"/>
      <protection hidden="1"/>
    </xf>
    <xf numFmtId="9" fontId="0" fillId="2" borderId="2" xfId="2" applyFont="1" applyFill="1" applyBorder="1" applyAlignment="1" applyProtection="1">
      <alignment horizontal="center" vertical="center" wrapText="1"/>
      <protection hidden="1"/>
    </xf>
    <xf numFmtId="9" fontId="0" fillId="2" borderId="3" xfId="2" applyFont="1" applyFill="1" applyBorder="1" applyAlignment="1" applyProtection="1">
      <alignment horizontal="center" vertical="center" wrapText="1"/>
      <protection hidden="1"/>
    </xf>
    <xf numFmtId="9" fontId="0" fillId="2" borderId="4" xfId="2" applyFont="1" applyFill="1" applyBorder="1" applyAlignment="1" applyProtection="1">
      <alignment horizontal="center" vertical="center" wrapText="1"/>
      <protection hidden="1"/>
    </xf>
    <xf numFmtId="43" fontId="7" fillId="11" borderId="1" xfId="3" applyFont="1" applyFill="1" applyBorder="1" applyAlignment="1" applyProtection="1">
      <alignment horizontal="center" vertical="center" wrapText="1"/>
      <protection hidden="1"/>
    </xf>
    <xf numFmtId="0" fontId="0" fillId="7" borderId="8" xfId="0" applyFill="1" applyBorder="1" applyProtection="1">
      <alignment vertical="center"/>
      <protection hidden="1"/>
    </xf>
    <xf numFmtId="176" fontId="0" fillId="2" borderId="7" xfId="1" applyNumberFormat="1" applyFont="1" applyFill="1" applyBorder="1" applyAlignment="1" applyProtection="1">
      <alignment horizontal="center" vertical="center"/>
      <protection hidden="1"/>
    </xf>
    <xf numFmtId="176" fontId="0" fillId="2" borderId="9" xfId="1" applyNumberFormat="1" applyFont="1" applyFill="1" applyBorder="1" applyAlignment="1" applyProtection="1">
      <alignment horizontal="center" vertical="center"/>
      <protection hidden="1"/>
    </xf>
    <xf numFmtId="186" fontId="0" fillId="11" borderId="2" xfId="0" applyNumberFormat="1" applyFill="1" applyBorder="1" applyAlignment="1" applyProtection="1">
      <alignment horizontal="center" vertical="center" wrapText="1"/>
      <protection hidden="1"/>
    </xf>
    <xf numFmtId="186" fontId="0" fillId="11" borderId="3" xfId="0" applyNumberFormat="1" applyFill="1" applyBorder="1" applyAlignment="1" applyProtection="1">
      <alignment horizontal="center" vertical="center" wrapText="1"/>
      <protection hidden="1"/>
    </xf>
    <xf numFmtId="186" fontId="0" fillId="11" borderId="4" xfId="0" applyNumberFormat="1" applyFill="1" applyBorder="1" applyAlignment="1" applyProtection="1">
      <alignment horizontal="center" vertical="center" wrapText="1"/>
      <protection hidden="1"/>
    </xf>
    <xf numFmtId="181" fontId="7" fillId="13" borderId="5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8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6" xfId="3" applyNumberFormat="1" applyFont="1" applyFill="1" applyBorder="1" applyAlignment="1" applyProtection="1">
      <alignment horizontal="center" vertical="center" textRotation="255" wrapText="1"/>
      <protection hidden="1"/>
    </xf>
    <xf numFmtId="181" fontId="7" fillId="13" borderId="2" xfId="3" applyNumberFormat="1" applyFont="1" applyFill="1" applyBorder="1" applyAlignment="1" applyProtection="1">
      <alignment horizontal="left" vertical="center"/>
      <protection hidden="1"/>
    </xf>
    <xf numFmtId="181" fontId="7" fillId="13" borderId="4" xfId="3" applyNumberFormat="1" applyFont="1" applyFill="1" applyBorder="1" applyAlignment="1" applyProtection="1">
      <alignment horizontal="left" vertical="center"/>
      <protection hidden="1"/>
    </xf>
    <xf numFmtId="181" fontId="7" fillId="11" borderId="1" xfId="3" applyNumberFormat="1" applyFont="1" applyFill="1" applyBorder="1" applyAlignment="1" applyProtection="1">
      <alignment horizontal="center" vertical="center" textRotation="255"/>
      <protection hidden="1"/>
    </xf>
    <xf numFmtId="181" fontId="7" fillId="13" borderId="1" xfId="3" applyNumberFormat="1" applyFont="1" applyFill="1" applyBorder="1" applyAlignment="1" applyProtection="1">
      <alignment horizontal="center" vertical="center" textRotation="255" wrapText="1"/>
      <protection hidden="1"/>
    </xf>
    <xf numFmtId="183" fontId="7" fillId="2" borderId="1" xfId="5" applyNumberFormat="1" applyFont="1" applyFill="1" applyBorder="1" applyAlignment="1" applyProtection="1">
      <alignment horizontal="center" vertical="center" wrapText="1"/>
      <protection hidden="1"/>
    </xf>
    <xf numFmtId="181" fontId="7" fillId="2" borderId="4" xfId="3" applyNumberFormat="1" applyFont="1" applyFill="1" applyBorder="1" applyAlignment="1" applyProtection="1">
      <alignment horizontal="center" vertical="center"/>
      <protection hidden="1"/>
    </xf>
    <xf numFmtId="43" fontId="7" fillId="2" borderId="1" xfId="3" applyFont="1" applyFill="1" applyBorder="1" applyAlignment="1" applyProtection="1">
      <alignment horizontal="center" vertical="center" wrapText="1"/>
      <protection hidden="1"/>
    </xf>
    <xf numFmtId="182" fontId="7" fillId="2" borderId="2" xfId="5" applyNumberFormat="1" applyFont="1" applyFill="1" applyBorder="1" applyAlignment="1" applyProtection="1">
      <alignment horizontal="center" vertical="center" wrapText="1"/>
      <protection hidden="1"/>
    </xf>
    <xf numFmtId="182" fontId="7" fillId="2" borderId="4" xfId="5" applyNumberFormat="1" applyFont="1" applyFill="1" applyBorder="1" applyAlignment="1" applyProtection="1">
      <alignment horizontal="center" vertical="center" wrapText="1"/>
      <protection hidden="1"/>
    </xf>
    <xf numFmtId="43" fontId="0" fillId="2" borderId="2" xfId="1" applyFont="1" applyFill="1" applyBorder="1" applyAlignment="1" applyProtection="1">
      <alignment horizontal="center" vertical="center" wrapText="1"/>
      <protection hidden="1"/>
    </xf>
    <xf numFmtId="43" fontId="0" fillId="0" borderId="4" xfId="1" applyFont="1" applyBorder="1" applyAlignment="1" applyProtection="1">
      <alignment horizontal="center" vertical="center" wrapText="1"/>
      <protection hidden="1"/>
    </xf>
    <xf numFmtId="43" fontId="0" fillId="11" borderId="2" xfId="1" applyFont="1" applyFill="1" applyBorder="1" applyAlignment="1" applyProtection="1">
      <alignment horizontal="center" vertical="center"/>
      <protection hidden="1"/>
    </xf>
    <xf numFmtId="43" fontId="0" fillId="11" borderId="3" xfId="1" applyFont="1" applyFill="1" applyBorder="1" applyAlignment="1" applyProtection="1">
      <alignment horizontal="center" vertical="center"/>
      <protection hidden="1"/>
    </xf>
    <xf numFmtId="43" fontId="0" fillId="11" borderId="4" xfId="1" applyFont="1" applyFill="1" applyBorder="1" applyAlignment="1" applyProtection="1">
      <alignment horizontal="center" vertical="center"/>
      <protection hidden="1"/>
    </xf>
    <xf numFmtId="181" fontId="7" fillId="11" borderId="1" xfId="3" applyNumberFormat="1" applyFont="1" applyFill="1" applyBorder="1" applyAlignment="1" applyProtection="1">
      <alignment horizontal="center" vertical="center" textRotation="255" wrapText="1"/>
      <protection hidden="1"/>
    </xf>
    <xf numFmtId="43" fontId="7" fillId="11" borderId="2" xfId="3" applyFont="1" applyFill="1" applyBorder="1" applyAlignment="1" applyProtection="1">
      <alignment horizontal="center" vertical="center" wrapText="1"/>
      <protection hidden="1"/>
    </xf>
    <xf numFmtId="43" fontId="25" fillId="7" borderId="5" xfId="1" applyFont="1" applyFill="1" applyBorder="1" applyAlignment="1" applyProtection="1">
      <alignment horizontal="center" vertical="center"/>
      <protection hidden="1"/>
    </xf>
    <xf numFmtId="43" fontId="25" fillId="7" borderId="8" xfId="1" applyFont="1" applyFill="1" applyBorder="1" applyAlignment="1" applyProtection="1">
      <alignment horizontal="center" vertical="center"/>
      <protection hidden="1"/>
    </xf>
    <xf numFmtId="43" fontId="25" fillId="7" borderId="6" xfId="1" applyFont="1" applyFill="1" applyBorder="1" applyAlignment="1" applyProtection="1">
      <alignment horizontal="center" vertical="center"/>
      <protection hidden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0" fontId="0" fillId="2" borderId="2" xfId="2" applyNumberFormat="1" applyFont="1" applyFill="1" applyBorder="1" applyAlignment="1">
      <alignment horizontal="center" vertical="center"/>
    </xf>
    <xf numFmtId="10" fontId="0" fillId="2" borderId="3" xfId="2" applyNumberFormat="1" applyFont="1" applyFill="1" applyBorder="1" applyAlignment="1">
      <alignment horizontal="center" vertical="center"/>
    </xf>
    <xf numFmtId="10" fontId="0" fillId="2" borderId="4" xfId="2" applyNumberFormat="1" applyFont="1" applyFill="1" applyBorder="1" applyAlignment="1">
      <alignment horizontal="center" vertical="center"/>
    </xf>
    <xf numFmtId="10" fontId="0" fillId="11" borderId="2" xfId="2" applyNumberFormat="1" applyFont="1" applyFill="1" applyBorder="1" applyAlignment="1">
      <alignment horizontal="center" vertical="center"/>
    </xf>
    <xf numFmtId="10" fontId="0" fillId="11" borderId="3" xfId="2" applyNumberFormat="1" applyFont="1" applyFill="1" applyBorder="1" applyAlignment="1">
      <alignment horizontal="center" vertical="center"/>
    </xf>
    <xf numFmtId="10" fontId="0" fillId="11" borderId="4" xfId="2" applyNumberFormat="1" applyFont="1" applyFill="1" applyBorder="1" applyAlignment="1">
      <alignment horizontal="center" vertical="center"/>
    </xf>
    <xf numFmtId="0" fontId="0" fillId="19" borderId="5" xfId="0" applyFill="1" applyBorder="1" applyAlignment="1">
      <alignment horizontal="left" vertical="center" wrapText="1"/>
    </xf>
    <xf numFmtId="0" fontId="0" fillId="19" borderId="8" xfId="0" applyFill="1" applyBorder="1" applyAlignment="1">
      <alignment horizontal="left" vertical="center" wrapText="1"/>
    </xf>
    <xf numFmtId="0" fontId="0" fillId="19" borderId="6" xfId="0" applyFill="1" applyBorder="1" applyAlignment="1">
      <alignment horizontal="left" vertical="center" wrapText="1"/>
    </xf>
    <xf numFmtId="43" fontId="8" fillId="19" borderId="5" xfId="1" applyFont="1" applyFill="1" applyBorder="1" applyAlignment="1" applyProtection="1">
      <alignment horizontal="left" vertical="center" wrapText="1"/>
      <protection hidden="1"/>
    </xf>
    <xf numFmtId="43" fontId="8" fillId="19" borderId="8" xfId="1" applyFont="1" applyFill="1" applyBorder="1" applyAlignment="1" applyProtection="1">
      <alignment horizontal="left" vertical="center" wrapText="1"/>
      <protection hidden="1"/>
    </xf>
    <xf numFmtId="43" fontId="8" fillId="19" borderId="6" xfId="1" applyFont="1" applyFill="1" applyBorder="1" applyAlignment="1" applyProtection="1">
      <alignment horizontal="left" vertical="center" wrapText="1"/>
      <protection hidden="1"/>
    </xf>
    <xf numFmtId="176" fontId="13" fillId="16" borderId="1" xfId="8" applyNumberFormat="1" applyFill="1" applyBorder="1" applyAlignment="1">
      <alignment horizontal="center" vertical="center"/>
    </xf>
    <xf numFmtId="176" fontId="13" fillId="16" borderId="1" xfId="8" applyNumberFormat="1" applyFill="1" applyBorder="1">
      <alignment vertical="center"/>
    </xf>
    <xf numFmtId="0" fontId="13" fillId="17" borderId="1" xfId="8" applyFill="1" applyBorder="1" applyAlignment="1">
      <alignment horizontal="center" vertical="center"/>
    </xf>
    <xf numFmtId="0" fontId="1" fillId="2" borderId="1" xfId="8" applyFont="1" applyFill="1" applyBorder="1" applyAlignment="1">
      <alignment horizontal="center" vertical="center"/>
    </xf>
    <xf numFmtId="9" fontId="0" fillId="2" borderId="1" xfId="7" applyFont="1" applyFill="1" applyBorder="1" applyAlignment="1">
      <alignment horizontal="center" vertical="center"/>
    </xf>
    <xf numFmtId="49" fontId="0" fillId="2" borderId="1" xfId="7" applyNumberFormat="1" applyFont="1" applyFill="1" applyBorder="1" applyAlignment="1">
      <alignment horizontal="center" vertical="center"/>
    </xf>
    <xf numFmtId="0" fontId="13" fillId="2" borderId="1" xfId="8" applyFill="1" applyBorder="1" applyAlignment="1">
      <alignment horizontal="center" vertical="center"/>
    </xf>
    <xf numFmtId="9" fontId="13" fillId="10" borderId="1" xfId="8" applyNumberFormat="1" applyFill="1" applyBorder="1" applyAlignment="1">
      <alignment horizontal="center" vertical="center"/>
    </xf>
  </cellXfs>
  <cellStyles count="10">
    <cellStyle name="一般" xfId="0" builtinId="0"/>
    <cellStyle name="一般 2" xfId="8" xr:uid="{00000000-0005-0000-0000-000001000000}"/>
    <cellStyle name="一般 4" xfId="4" xr:uid="{00000000-0005-0000-0000-000002000000}"/>
    <cellStyle name="千分位" xfId="1" builtinId="3"/>
    <cellStyle name="千分位 2" xfId="3" xr:uid="{00000000-0005-0000-0000-000004000000}"/>
    <cellStyle name="千分位 3" xfId="9" xr:uid="{00000000-0005-0000-0000-000005000000}"/>
    <cellStyle name="百分比" xfId="2" builtinId="5"/>
    <cellStyle name="百分比 2" xfId="5" xr:uid="{00000000-0005-0000-0000-000007000000}"/>
    <cellStyle name="百分比 3" xfId="7" xr:uid="{00000000-0005-0000-0000-000008000000}"/>
    <cellStyle name="貨幣 2" xfId="6" xr:uid="{00000000-0005-0000-0000-000009000000}"/>
  </cellStyles>
  <dxfs count="11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CC"/>
      <color rgb="FFFFFF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/>
              <a:t>資產趨勢圖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'412退休金目標回測'!$I$1</c:f>
              <c:strCache>
                <c:ptCount val="1"/>
                <c:pt idx="0">
                  <c:v>固定 72 萬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'412退休金目標回測'!$E$3:$E$22</c:f>
              <c:numCache>
                <c:formatCode>0_);[Red]\(0\)</c:formatCod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</c:numCache>
            </c:numRef>
          </c:cat>
          <c:val>
            <c:numRef>
              <c:f>'412退休金目標回測'!$J$3:$J$22</c:f>
              <c:numCache>
                <c:formatCode>_(* #,##0.00_);_(* \(#,##0.00\);_(* "-"??_);_(@_)</c:formatCode>
                <c:ptCount val="20"/>
                <c:pt idx="0">
                  <c:v>2218.5000000000005</c:v>
                </c:pt>
                <c:pt idx="1">
                  <c:v>1442.367931034483</c:v>
                </c:pt>
                <c:pt idx="2">
                  <c:v>841.51331140583579</c:v>
                </c:pt>
                <c:pt idx="3">
                  <c:v>1147.6595031087536</c:v>
                </c:pt>
                <c:pt idx="4">
                  <c:v>1188.582652876393</c:v>
                </c:pt>
                <c:pt idx="5">
                  <c:v>1109.0888350459929</c:v>
                </c:pt>
                <c:pt idx="6">
                  <c:v>1105.1055264234087</c:v>
                </c:pt>
                <c:pt idx="7">
                  <c:v>1212.6141413019927</c:v>
                </c:pt>
                <c:pt idx="8">
                  <c:v>663.67921521754681</c:v>
                </c:pt>
                <c:pt idx="9">
                  <c:v>885.70324375766859</c:v>
                </c:pt>
                <c:pt idx="10">
                  <c:v>940.1763475451761</c:v>
                </c:pt>
                <c:pt idx="11">
                  <c:v>872.62599432004265</c:v>
                </c:pt>
                <c:pt idx="12">
                  <c:v>911.99976211760634</c:v>
                </c:pt>
                <c:pt idx="13">
                  <c:v>1105.271855499293</c:v>
                </c:pt>
                <c:pt idx="14">
                  <c:v>1191.3336464032027</c:v>
                </c:pt>
                <c:pt idx="15">
                  <c:v>1185.5454308258329</c:v>
                </c:pt>
                <c:pt idx="16">
                  <c:v>1150.8000528778205</c:v>
                </c:pt>
                <c:pt idx="17">
                  <c:v>1380.4835451006879</c:v>
                </c:pt>
                <c:pt idx="18">
                  <c:v>1265.3489505581695</c:v>
                </c:pt>
                <c:pt idx="19">
                  <c:v>1598.9208484027822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F2-40E4-BDF4-B9F011BABEDE}"/>
            </c:ext>
          </c:extLst>
        </c:ser>
        <c:ser>
          <c:idx val="4"/>
          <c:order val="1"/>
          <c:tx>
            <c:strRef>
              <c:f>'412退休金目標回測'!$K$1</c:f>
              <c:strCache>
                <c:ptCount val="1"/>
                <c:pt idx="0">
                  <c:v>固定 6%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cat>
            <c:numRef>
              <c:f>'412退休金目標回測'!$E$3:$E$22</c:f>
              <c:numCache>
                <c:formatCode>0_);[Red]\(0\)</c:formatCode>
                <c:ptCount val="20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</c:numCache>
            </c:numRef>
          </c:cat>
          <c:val>
            <c:numRef>
              <c:f>'412退休金目標回測'!$L$3:$L$22</c:f>
              <c:numCache>
                <c:formatCode>_(* #,##0.00_);_(* \(#,##0.00\);_(* "-"??_);_(@_)</c:formatCode>
                <c:ptCount val="20"/>
                <c:pt idx="0">
                  <c:v>2126.2800000000002</c:v>
                </c:pt>
                <c:pt idx="1">
                  <c:v>1342.2399120000002</c:v>
                </c:pt>
                <c:pt idx="2">
                  <c:v>774.43195552819213</c:v>
                </c:pt>
                <c:pt idx="3">
                  <c:v>1087.6829284926935</c:v>
                </c:pt>
                <c:pt idx="4">
                  <c:v>1130.0470551018725</c:v>
                </c:pt>
                <c:pt idx="5">
                  <c:v>1055.1872594868323</c:v>
                </c:pt>
                <c:pt idx="6">
                  <c:v>1057.6801646669892</c:v>
                </c:pt>
                <c:pt idx="7">
                  <c:v>1167.9992031841896</c:v>
                </c:pt>
                <c:pt idx="8">
                  <c:v>638.7584528113847</c:v>
                </c:pt>
                <c:pt idx="9">
                  <c:v>909.19908347496266</c:v>
                </c:pt>
                <c:pt idx="10">
                  <c:v>992.92110275017558</c:v>
                </c:pt>
                <c:pt idx="11">
                  <c:v>942.5807962102665</c:v>
                </c:pt>
                <c:pt idx="12">
                  <c:v>1016.5202660114446</c:v>
                </c:pt>
                <c:pt idx="13">
                  <c:v>1265.5724856536956</c:v>
                </c:pt>
                <c:pt idx="14">
                  <c:v>1374.2422631147813</c:v>
                </c:pt>
                <c:pt idx="15">
                  <c:v>1368.4398474537347</c:v>
                </c:pt>
                <c:pt idx="16">
                  <c:v>1329.7895986107849</c:v>
                </c:pt>
                <c:pt idx="17">
                  <c:v>1601.4767593017716</c:v>
                </c:pt>
                <c:pt idx="18">
                  <c:v>1450.1412785198543</c:v>
                </c:pt>
                <c:pt idx="19">
                  <c:v>1823.4085522586327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0F2-40E4-BDF4-B9F011BAB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);[Red]\(0\)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3"/>
        <c:crosses val="autoZero"/>
        <c:auto val="1"/>
        <c:lblAlgn val="ctr"/>
        <c:lblOffset val="100"/>
        <c:noMultiLvlLbl val="1"/>
      </c:catAx>
      <c:valAx>
        <c:axId val="209473455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2094734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242207</xdr:colOff>
      <xdr:row>2</xdr:row>
      <xdr:rowOff>75291</xdr:rowOff>
    </xdr:from>
    <xdr:to>
      <xdr:col>23</xdr:col>
      <xdr:colOff>45357</xdr:colOff>
      <xdr:row>22</xdr:row>
      <xdr:rowOff>27212</xdr:rowOff>
    </xdr:to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447A8CBE-6A17-4219-8CC7-77824D3869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8"/>
  <sheetViews>
    <sheetView zoomScale="85" zoomScaleNormal="85" workbookViewId="0">
      <pane xSplit="1" ySplit="2" topLeftCell="B24" activePane="bottomRight" state="frozen"/>
      <selection pane="topRight" activeCell="B1" sqref="B1"/>
      <selection pane="bottomLeft" activeCell="A2" sqref="A2"/>
      <selection pane="bottomRight" activeCell="F28" sqref="F28"/>
    </sheetView>
  </sheetViews>
  <sheetFormatPr defaultRowHeight="17" x14ac:dyDescent="0.4"/>
  <cols>
    <col min="1" max="1" width="5.36328125" style="31" bestFit="1" customWidth="1"/>
    <col min="2" max="5" width="8.26953125" style="88" bestFit="1" customWidth="1"/>
    <col min="6" max="6" width="8.26953125" style="46" bestFit="1" customWidth="1"/>
    <col min="7" max="9" width="7.26953125" style="88" bestFit="1" customWidth="1"/>
    <col min="10" max="10" width="7.36328125" style="88" bestFit="1" customWidth="1"/>
    <col min="11" max="11" width="8.54296875" style="46" bestFit="1" customWidth="1"/>
    <col min="12" max="16384" width="8.7265625" style="1"/>
  </cols>
  <sheetData>
    <row r="1" spans="1:11" x14ac:dyDescent="0.4">
      <c r="A1" s="169" t="s">
        <v>353</v>
      </c>
      <c r="B1" s="171" t="s">
        <v>300</v>
      </c>
      <c r="C1" s="172"/>
      <c r="D1" s="172"/>
      <c r="E1" s="172"/>
      <c r="F1" s="173"/>
      <c r="G1" s="171" t="s">
        <v>301</v>
      </c>
      <c r="H1" s="172"/>
      <c r="I1" s="172"/>
      <c r="J1" s="172"/>
      <c r="K1" s="173"/>
    </row>
    <row r="2" spans="1:11" s="2" customFormat="1" x14ac:dyDescent="0.4">
      <c r="A2" s="170"/>
      <c r="B2" s="27" t="s">
        <v>297</v>
      </c>
      <c r="C2" s="27" t="s">
        <v>298</v>
      </c>
      <c r="D2" s="27" t="s">
        <v>299</v>
      </c>
      <c r="E2" s="27" t="s">
        <v>307</v>
      </c>
      <c r="F2" s="26" t="s">
        <v>302</v>
      </c>
      <c r="G2" s="27" t="s">
        <v>297</v>
      </c>
      <c r="H2" s="27" t="s">
        <v>298</v>
      </c>
      <c r="I2" s="27" t="s">
        <v>299</v>
      </c>
      <c r="J2" s="27" t="s">
        <v>307</v>
      </c>
      <c r="K2" s="26" t="s">
        <v>302</v>
      </c>
    </row>
    <row r="3" spans="1:11" x14ac:dyDescent="0.4">
      <c r="A3" s="31">
        <v>1999</v>
      </c>
      <c r="B3" s="88">
        <v>54</v>
      </c>
      <c r="C3" s="88">
        <v>93.75</v>
      </c>
      <c r="D3" s="88">
        <v>48.84375</v>
      </c>
      <c r="E3" s="88">
        <v>91.375</v>
      </c>
      <c r="G3" s="88">
        <v>4.3862467221915393</v>
      </c>
      <c r="H3" s="88">
        <v>13.209238627958582</v>
      </c>
      <c r="I3" s="88">
        <v>3.5827940208946893</v>
      </c>
      <c r="J3" s="88">
        <v>12.463869467773534</v>
      </c>
    </row>
    <row r="4" spans="1:11" x14ac:dyDescent="0.4">
      <c r="A4" s="31">
        <v>2000</v>
      </c>
      <c r="B4" s="88">
        <v>96.1875</v>
      </c>
      <c r="C4" s="88">
        <v>120.5</v>
      </c>
      <c r="D4" s="88">
        <v>54.25</v>
      </c>
      <c r="E4" s="88">
        <v>58.375</v>
      </c>
      <c r="F4" s="41">
        <f t="shared" ref="F4:F28" si="0">(E4-E3)/E3</f>
        <v>-0.36114911080711354</v>
      </c>
      <c r="G4" s="88">
        <v>13.916909766015927</v>
      </c>
      <c r="H4" s="88">
        <v>21.822742435568706</v>
      </c>
      <c r="I4" s="88">
        <v>4.4198072139246296</v>
      </c>
      <c r="J4" s="88">
        <v>5.0868847620939075</v>
      </c>
      <c r="K4" s="41">
        <f t="shared" ref="K4:K28" si="1">(J4-J3)/J3</f>
        <v>-0.59186954137745829</v>
      </c>
    </row>
    <row r="5" spans="1:11" x14ac:dyDescent="0.4">
      <c r="A5" s="31">
        <v>2001</v>
      </c>
      <c r="B5" s="88">
        <v>58.5625</v>
      </c>
      <c r="C5" s="88">
        <v>69.125</v>
      </c>
      <c r="D5" s="88">
        <v>27.200001</v>
      </c>
      <c r="E5" s="88">
        <v>38.909999999999997</v>
      </c>
      <c r="F5" s="41">
        <f t="shared" si="0"/>
        <v>-0.33344753747323347</v>
      </c>
      <c r="G5" s="88">
        <v>5.1587532263210818</v>
      </c>
      <c r="H5" s="88">
        <v>7.1813405432486812</v>
      </c>
      <c r="I5" s="88">
        <v>1.1110706651956979</v>
      </c>
      <c r="J5" s="88">
        <v>2.2600631473224988</v>
      </c>
      <c r="K5" s="41">
        <f t="shared" si="1"/>
        <v>-0.55570781469950348</v>
      </c>
    </row>
    <row r="6" spans="1:11" x14ac:dyDescent="0.4">
      <c r="A6" s="31">
        <v>2002</v>
      </c>
      <c r="B6" s="88">
        <v>39.57</v>
      </c>
      <c r="C6" s="88">
        <v>42.599997999999999</v>
      </c>
      <c r="D6" s="88">
        <v>19.760000000000002</v>
      </c>
      <c r="E6" s="88">
        <v>24.370000999999998</v>
      </c>
      <c r="F6" s="41">
        <f t="shared" si="0"/>
        <v>-0.3736828321768183</v>
      </c>
      <c r="G6" s="88">
        <v>2.3552533900144046</v>
      </c>
      <c r="H6" s="88">
        <v>2.7274348818909746</v>
      </c>
      <c r="I6" s="88">
        <v>0.58637807291272181</v>
      </c>
      <c r="J6" s="88">
        <v>0.88656219104665057</v>
      </c>
      <c r="K6" s="41">
        <f t="shared" si="1"/>
        <v>-0.60772680528994838</v>
      </c>
    </row>
    <row r="7" spans="1:11" x14ac:dyDescent="0.4">
      <c r="A7" s="31">
        <v>2003</v>
      </c>
      <c r="B7" s="88">
        <v>24.719999000000001</v>
      </c>
      <c r="C7" s="88">
        <v>36.639999000000003</v>
      </c>
      <c r="D7" s="88">
        <v>23.32</v>
      </c>
      <c r="E7" s="88">
        <v>36.459999000000003</v>
      </c>
      <c r="F7" s="41">
        <f t="shared" si="0"/>
        <v>0.49610166203932471</v>
      </c>
      <c r="G7" s="88">
        <v>0.91918395478258419</v>
      </c>
      <c r="H7" s="88">
        <v>2.0176514291461305</v>
      </c>
      <c r="I7" s="88">
        <v>0.81669694972967943</v>
      </c>
      <c r="J7" s="88">
        <v>1.9844100458434597</v>
      </c>
      <c r="K7" s="41">
        <f t="shared" si="1"/>
        <v>1.2383201831568302</v>
      </c>
    </row>
    <row r="8" spans="1:11" x14ac:dyDescent="0.4">
      <c r="A8" s="31">
        <v>2004</v>
      </c>
      <c r="B8" s="88">
        <v>36.659999999999997</v>
      </c>
      <c r="C8" s="88">
        <v>40.68</v>
      </c>
      <c r="D8" s="88">
        <v>32.349997999999999</v>
      </c>
      <c r="E8" s="88">
        <v>39.919998</v>
      </c>
      <c r="F8" s="41">
        <f t="shared" si="0"/>
        <v>9.4898494100342567E-2</v>
      </c>
      <c r="G8" s="88">
        <v>2.0215777933027983</v>
      </c>
      <c r="H8" s="88">
        <v>2.4871221860165669</v>
      </c>
      <c r="I8" s="88">
        <v>1.5716374093691177</v>
      </c>
      <c r="J8" s="88">
        <v>2.3789161454376049</v>
      </c>
      <c r="K8" s="41">
        <f t="shared" si="1"/>
        <v>0.19880271238319755</v>
      </c>
    </row>
    <row r="9" spans="1:11" x14ac:dyDescent="0.4">
      <c r="A9" s="31">
        <v>2005</v>
      </c>
      <c r="B9" s="88">
        <v>40.090000000000003</v>
      </c>
      <c r="C9" s="88">
        <v>42.310001</v>
      </c>
      <c r="D9" s="88">
        <v>34.349997999999999</v>
      </c>
      <c r="E9" s="88">
        <v>40.409999999999997</v>
      </c>
      <c r="F9" s="41">
        <f t="shared" si="0"/>
        <v>1.2274599813356627E-2</v>
      </c>
      <c r="G9" s="88">
        <v>2.4175621606669035</v>
      </c>
      <c r="H9" s="88">
        <v>2.6904275671254934</v>
      </c>
      <c r="I9" s="88">
        <v>1.7719737076907083</v>
      </c>
      <c r="J9" s="88">
        <v>2.4376750540927259</v>
      </c>
      <c r="K9" s="41">
        <f t="shared" si="1"/>
        <v>2.4699865427291988E-2</v>
      </c>
    </row>
    <row r="10" spans="1:11" x14ac:dyDescent="0.4">
      <c r="A10" s="31">
        <v>2006</v>
      </c>
      <c r="B10" s="88">
        <v>40.650002000000001</v>
      </c>
      <c r="C10" s="88">
        <v>44.860000999999997</v>
      </c>
      <c r="D10" s="88">
        <v>35.540000999999997</v>
      </c>
      <c r="E10" s="88">
        <v>43.16</v>
      </c>
      <c r="F10" s="41">
        <f t="shared" si="0"/>
        <v>6.8052462261816382E-2</v>
      </c>
      <c r="G10" s="88">
        <v>2.4855738983210847</v>
      </c>
      <c r="H10" s="88">
        <v>2.9296880000000001</v>
      </c>
      <c r="I10" s="88">
        <v>1.8968750000000001</v>
      </c>
      <c r="J10" s="88">
        <v>2.5325000000000002</v>
      </c>
      <c r="K10" s="41">
        <f t="shared" si="1"/>
        <v>3.8899748244979701E-2</v>
      </c>
    </row>
    <row r="11" spans="1:11" x14ac:dyDescent="0.4">
      <c r="A11" s="31">
        <v>2007</v>
      </c>
      <c r="B11" s="88">
        <v>43.459999000000003</v>
      </c>
      <c r="C11" s="88">
        <v>55.07</v>
      </c>
      <c r="D11" s="88">
        <v>42.060001</v>
      </c>
      <c r="E11" s="88">
        <v>51.220001000000003</v>
      </c>
      <c r="F11" s="41">
        <f t="shared" si="0"/>
        <v>0.18674701112140887</v>
      </c>
      <c r="G11" s="88">
        <v>2.5862500000000002</v>
      </c>
      <c r="H11" s="88">
        <v>3.8359380000000001</v>
      </c>
      <c r="I11" s="88">
        <v>2.3634379999999999</v>
      </c>
      <c r="J11" s="88">
        <v>3.100625</v>
      </c>
      <c r="K11" s="41">
        <f t="shared" si="1"/>
        <v>0.22433366238894362</v>
      </c>
    </row>
    <row r="12" spans="1:11" x14ac:dyDescent="0.4">
      <c r="A12" s="31">
        <v>2008</v>
      </c>
      <c r="B12" s="88">
        <v>51.27</v>
      </c>
      <c r="C12" s="88">
        <v>51.470001000000003</v>
      </c>
      <c r="D12" s="88">
        <v>25.049999</v>
      </c>
      <c r="E12" s="88">
        <v>29.74</v>
      </c>
      <c r="F12" s="41">
        <f t="shared" si="0"/>
        <v>-0.4193674459319125</v>
      </c>
      <c r="G12" s="88">
        <v>3.1062500000000002</v>
      </c>
      <c r="H12" s="88">
        <v>3.125</v>
      </c>
      <c r="I12" s="88">
        <v>0.61624999999999996</v>
      </c>
      <c r="J12" s="88">
        <v>0.84031299999999998</v>
      </c>
      <c r="K12" s="41">
        <f t="shared" si="1"/>
        <v>-0.72898593025599678</v>
      </c>
    </row>
    <row r="13" spans="1:11" x14ac:dyDescent="0.4">
      <c r="A13" s="31">
        <v>2009</v>
      </c>
      <c r="B13" s="88">
        <v>29.75</v>
      </c>
      <c r="C13" s="88">
        <v>46.299999</v>
      </c>
      <c r="D13" s="88">
        <v>25.629999000000002</v>
      </c>
      <c r="E13" s="88">
        <v>45.75</v>
      </c>
      <c r="F13" s="41">
        <f t="shared" si="0"/>
        <v>0.53833221250840624</v>
      </c>
      <c r="G13" s="88">
        <v>0.84624999999999995</v>
      </c>
      <c r="H13" s="88">
        <v>1.900625</v>
      </c>
      <c r="I13" s="88">
        <v>0.60812500000000003</v>
      </c>
      <c r="J13" s="88">
        <v>1.8587499999999999</v>
      </c>
      <c r="K13" s="41">
        <f t="shared" si="1"/>
        <v>1.2119733956275818</v>
      </c>
    </row>
    <row r="14" spans="1:11" x14ac:dyDescent="0.4">
      <c r="A14" s="31">
        <v>2010</v>
      </c>
      <c r="B14" s="88">
        <v>46.330002</v>
      </c>
      <c r="C14" s="88">
        <v>54.959999000000003</v>
      </c>
      <c r="D14" s="88">
        <v>41.77</v>
      </c>
      <c r="E14" s="88">
        <v>54.459999000000003</v>
      </c>
      <c r="F14" s="41">
        <f t="shared" si="0"/>
        <v>0.19038249180327876</v>
      </c>
      <c r="G14" s="88">
        <v>1.900938</v>
      </c>
      <c r="H14" s="88">
        <v>2.5915629999999998</v>
      </c>
      <c r="I14" s="88">
        <v>1.504375</v>
      </c>
      <c r="J14" s="88">
        <v>2.5446879999999998</v>
      </c>
      <c r="K14" s="41">
        <f t="shared" si="1"/>
        <v>0.36903187626092804</v>
      </c>
    </row>
    <row r="15" spans="1:11" x14ac:dyDescent="0.4">
      <c r="A15" s="31">
        <v>2011</v>
      </c>
      <c r="B15" s="88">
        <v>54.970001000000003</v>
      </c>
      <c r="C15" s="88">
        <v>59.830002</v>
      </c>
      <c r="D15" s="88">
        <v>49.93</v>
      </c>
      <c r="E15" s="88">
        <v>55.830002</v>
      </c>
      <c r="F15" s="41">
        <f t="shared" si="0"/>
        <v>2.5156133403527917E-2</v>
      </c>
      <c r="G15" s="88">
        <v>2.5912500000000001</v>
      </c>
      <c r="H15" s="88">
        <v>3.0337499999999999</v>
      </c>
      <c r="I15" s="88">
        <v>2.0740630000000002</v>
      </c>
      <c r="J15" s="88">
        <v>2.5456249999999998</v>
      </c>
      <c r="K15" s="41">
        <f t="shared" si="1"/>
        <v>3.6821802908645998E-4</v>
      </c>
    </row>
    <row r="16" spans="1:11" x14ac:dyDescent="0.4">
      <c r="A16" s="31">
        <v>2012</v>
      </c>
      <c r="B16" s="88">
        <v>56.91</v>
      </c>
      <c r="C16" s="88">
        <v>70.580001999999993</v>
      </c>
      <c r="D16" s="88">
        <v>56.560001</v>
      </c>
      <c r="E16" s="88">
        <v>65.129997000000003</v>
      </c>
      <c r="F16" s="41">
        <f t="shared" si="0"/>
        <v>0.16657701355625965</v>
      </c>
      <c r="G16" s="88">
        <v>2.642188</v>
      </c>
      <c r="H16" s="88">
        <v>4.0225</v>
      </c>
      <c r="I16" s="88">
        <v>2.6106250000000002</v>
      </c>
      <c r="J16" s="88">
        <v>3.4256250000000001</v>
      </c>
      <c r="K16" s="41">
        <f t="shared" si="1"/>
        <v>0.34569113675423535</v>
      </c>
    </row>
    <row r="17" spans="1:11" x14ac:dyDescent="0.4">
      <c r="A17" s="31">
        <v>2013</v>
      </c>
      <c r="B17" s="88">
        <v>66.730002999999996</v>
      </c>
      <c r="C17" s="88">
        <v>87.959998999999996</v>
      </c>
      <c r="D17" s="88">
        <v>65.959998999999996</v>
      </c>
      <c r="E17" s="88">
        <v>87.959998999999996</v>
      </c>
      <c r="F17" s="41">
        <f t="shared" si="0"/>
        <v>0.35052975666496639</v>
      </c>
      <c r="G17" s="88">
        <v>3.5968749999999998</v>
      </c>
      <c r="H17" s="88">
        <v>6.2249999999999996</v>
      </c>
      <c r="I17" s="88">
        <v>3.504375</v>
      </c>
      <c r="J17" s="88">
        <v>6.2249999999999996</v>
      </c>
      <c r="K17" s="41">
        <f t="shared" si="1"/>
        <v>0.81718664477285152</v>
      </c>
    </row>
    <row r="18" spans="1:11" x14ac:dyDescent="0.4">
      <c r="A18" s="31">
        <v>2014</v>
      </c>
      <c r="B18" s="88">
        <v>87.550003000000004</v>
      </c>
      <c r="C18" s="88">
        <v>106.25</v>
      </c>
      <c r="D18" s="88">
        <v>83.279999000000004</v>
      </c>
      <c r="E18" s="88">
        <v>103.25</v>
      </c>
      <c r="F18" s="41">
        <f t="shared" si="0"/>
        <v>0.17382902653284482</v>
      </c>
      <c r="G18" s="88">
        <v>6.17</v>
      </c>
      <c r="H18" s="88">
        <v>9.0262499999999992</v>
      </c>
      <c r="I18" s="88">
        <v>5.5875000000000004</v>
      </c>
      <c r="J18" s="88">
        <v>8.5462500000000006</v>
      </c>
      <c r="K18" s="41">
        <f t="shared" si="1"/>
        <v>0.37289156626506043</v>
      </c>
    </row>
    <row r="19" spans="1:11" x14ac:dyDescent="0.4">
      <c r="A19" s="31">
        <v>2015</v>
      </c>
      <c r="B19" s="88">
        <v>103.760002</v>
      </c>
      <c r="C19" s="88">
        <v>115.75</v>
      </c>
      <c r="D19" s="88">
        <v>84.739998</v>
      </c>
      <c r="E19" s="88">
        <v>111.860001</v>
      </c>
      <c r="F19" s="41">
        <f t="shared" si="0"/>
        <v>8.3389840193704573E-2</v>
      </c>
      <c r="G19" s="88">
        <v>8.6312499999999996</v>
      </c>
      <c r="H19" s="88">
        <v>10.47125</v>
      </c>
      <c r="I19" s="88">
        <v>6.875</v>
      </c>
      <c r="J19" s="88">
        <v>9.7949999999999999</v>
      </c>
      <c r="K19" s="41">
        <f t="shared" si="1"/>
        <v>0.14611671785870989</v>
      </c>
    </row>
    <row r="20" spans="1:11" x14ac:dyDescent="0.4">
      <c r="A20" s="31">
        <v>2016</v>
      </c>
      <c r="B20" s="88">
        <v>109.449997</v>
      </c>
      <c r="C20" s="88">
        <v>121.519997</v>
      </c>
      <c r="D20" s="88">
        <v>94.839995999999999</v>
      </c>
      <c r="E20" s="88">
        <v>118.480003</v>
      </c>
      <c r="F20" s="41">
        <f t="shared" si="0"/>
        <v>5.9181136606641011E-2</v>
      </c>
      <c r="G20" s="88">
        <v>9.3574999999999999</v>
      </c>
      <c r="H20" s="88">
        <v>11.31875</v>
      </c>
      <c r="I20" s="88">
        <v>6.9537500000000003</v>
      </c>
      <c r="J20" s="88">
        <v>10.765000000000001</v>
      </c>
      <c r="K20" s="41">
        <f t="shared" si="1"/>
        <v>9.9030117406840285E-2</v>
      </c>
    </row>
    <row r="21" spans="1:11" x14ac:dyDescent="0.4">
      <c r="A21" s="31">
        <v>2017</v>
      </c>
      <c r="B21" s="88">
        <v>119.269997</v>
      </c>
      <c r="C21" s="88">
        <v>158.770004</v>
      </c>
      <c r="D21" s="88">
        <v>118.889999</v>
      </c>
      <c r="E21" s="88">
        <v>155.759995</v>
      </c>
      <c r="F21" s="41">
        <f t="shared" si="0"/>
        <v>0.31465218649597781</v>
      </c>
      <c r="G21" s="88">
        <v>10.90875</v>
      </c>
      <c r="H21" s="88">
        <v>19.072500000000002</v>
      </c>
      <c r="I21" s="88">
        <v>10.83375</v>
      </c>
      <c r="J21" s="88">
        <v>18.3325</v>
      </c>
      <c r="K21" s="41">
        <f t="shared" si="1"/>
        <v>0.70297259637714804</v>
      </c>
    </row>
    <row r="22" spans="1:11" x14ac:dyDescent="0.4">
      <c r="A22" s="31">
        <v>2018</v>
      </c>
      <c r="B22" s="88">
        <v>156.55999800000001</v>
      </c>
      <c r="C22" s="88">
        <v>187.529999</v>
      </c>
      <c r="D22" s="88">
        <v>143.46000699999999</v>
      </c>
      <c r="E22" s="88">
        <v>154.259995</v>
      </c>
      <c r="F22" s="41">
        <f t="shared" si="0"/>
        <v>-9.630200617302279E-3</v>
      </c>
      <c r="G22" s="88">
        <v>18.514999</v>
      </c>
      <c r="H22" s="88">
        <v>25.627500999999999</v>
      </c>
      <c r="I22" s="88">
        <v>14.61</v>
      </c>
      <c r="J22" s="88">
        <v>16.797501</v>
      </c>
      <c r="K22" s="41">
        <f t="shared" si="1"/>
        <v>-8.3731024137460752E-2</v>
      </c>
    </row>
    <row r="23" spans="1:11" x14ac:dyDescent="0.4">
      <c r="A23" s="31">
        <v>2019</v>
      </c>
      <c r="B23" s="88">
        <v>150.990005</v>
      </c>
      <c r="C23" s="88">
        <v>214.55999800000001</v>
      </c>
      <c r="D23" s="88">
        <v>149.490005</v>
      </c>
      <c r="E23" s="88">
        <v>212.61000100000001</v>
      </c>
      <c r="F23" s="41">
        <f t="shared" si="0"/>
        <v>0.37825753851476535</v>
      </c>
      <c r="G23" s="88">
        <v>16.084999</v>
      </c>
      <c r="H23" s="88">
        <v>31.047501</v>
      </c>
      <c r="I23" s="88">
        <v>15.7425</v>
      </c>
      <c r="J23" s="88">
        <v>30.4725</v>
      </c>
      <c r="K23" s="41">
        <f t="shared" si="1"/>
        <v>0.81410913444803479</v>
      </c>
    </row>
    <row r="24" spans="1:11" x14ac:dyDescent="0.4">
      <c r="A24" s="31">
        <v>2020</v>
      </c>
      <c r="B24" s="88">
        <v>214.39999399999999</v>
      </c>
      <c r="C24" s="88">
        <v>314.69000199999999</v>
      </c>
      <c r="D24" s="88">
        <v>164.929993</v>
      </c>
      <c r="E24" s="88">
        <v>313.73998999999998</v>
      </c>
      <c r="F24" s="41">
        <f t="shared" si="0"/>
        <v>0.47565960455453815</v>
      </c>
      <c r="G24" s="88">
        <v>30.977501</v>
      </c>
      <c r="H24" s="88">
        <v>57.959999000000003</v>
      </c>
      <c r="I24" s="88">
        <v>17.0075</v>
      </c>
      <c r="J24" s="88">
        <v>57.555</v>
      </c>
      <c r="K24" s="41">
        <f t="shared" si="1"/>
        <v>0.88875215358109771</v>
      </c>
    </row>
    <row r="25" spans="1:11" x14ac:dyDescent="0.4">
      <c r="A25" s="31">
        <v>2021</v>
      </c>
      <c r="B25" s="88">
        <v>315.10998499999999</v>
      </c>
      <c r="C25" s="88">
        <v>408.709991</v>
      </c>
      <c r="D25" s="88">
        <v>297.45001200000002</v>
      </c>
      <c r="E25" s="88">
        <v>397.85000600000001</v>
      </c>
      <c r="F25" s="41">
        <f t="shared" si="0"/>
        <v>0.26808828546211161</v>
      </c>
      <c r="G25" s="88">
        <v>58.110000999999997</v>
      </c>
      <c r="H25" s="88">
        <v>94.540001000000004</v>
      </c>
      <c r="I25" s="88">
        <v>51.200001</v>
      </c>
      <c r="J25" s="88">
        <v>89.019997000000004</v>
      </c>
      <c r="K25" s="41">
        <f t="shared" si="1"/>
        <v>0.54669441403874564</v>
      </c>
    </row>
    <row r="26" spans="1:11" x14ac:dyDescent="0.4">
      <c r="A26" s="31">
        <v>2022</v>
      </c>
      <c r="B26" s="88">
        <v>399.04998799999998</v>
      </c>
      <c r="C26" s="88">
        <v>402.27999899999998</v>
      </c>
      <c r="D26" s="88">
        <v>254.259995</v>
      </c>
      <c r="E26" s="88">
        <v>266.27999899999998</v>
      </c>
      <c r="F26" s="41">
        <f t="shared" si="0"/>
        <v>-0.3307025386848933</v>
      </c>
      <c r="G26" s="88">
        <v>89.650002000000001</v>
      </c>
      <c r="H26" s="88">
        <v>91.099997999999999</v>
      </c>
      <c r="I26" s="88">
        <v>32.979999999999997</v>
      </c>
      <c r="J26" s="88">
        <v>35.040000999999997</v>
      </c>
      <c r="K26" s="41">
        <f t="shared" si="1"/>
        <v>-0.60638056413324759</v>
      </c>
    </row>
    <row r="27" spans="1:11" x14ac:dyDescent="0.4">
      <c r="A27" s="31">
        <v>2023</v>
      </c>
      <c r="B27" s="88">
        <v>268.64999399999999</v>
      </c>
      <c r="C27" s="88">
        <v>412.92001299999998</v>
      </c>
      <c r="D27" s="88">
        <v>260.33999599999999</v>
      </c>
      <c r="E27" s="88">
        <v>409.51998900000001</v>
      </c>
      <c r="F27" s="41">
        <f t="shared" si="0"/>
        <v>0.53792996296353468</v>
      </c>
      <c r="G27" s="88">
        <v>35.639999000000003</v>
      </c>
      <c r="H27" s="88">
        <v>77.290001000000004</v>
      </c>
      <c r="I27" s="88">
        <v>33.419998</v>
      </c>
      <c r="J27" s="88">
        <v>76</v>
      </c>
      <c r="K27" s="41">
        <f t="shared" si="1"/>
        <v>1.1689497097902481</v>
      </c>
    </row>
    <row r="28" spans="1:11" x14ac:dyDescent="0.4">
      <c r="A28" s="31">
        <v>2024</v>
      </c>
      <c r="B28" s="88">
        <v>405.83999599999999</v>
      </c>
      <c r="C28" s="88">
        <v>460.58</v>
      </c>
      <c r="D28" s="88">
        <v>413.07</v>
      </c>
      <c r="E28" s="88">
        <v>451.55</v>
      </c>
      <c r="F28" s="41">
        <f t="shared" si="0"/>
        <v>0.10263237968586682</v>
      </c>
      <c r="G28" s="88">
        <v>74.64</v>
      </c>
      <c r="H28" s="88">
        <v>92.81</v>
      </c>
      <c r="I28" s="88">
        <v>70.739998</v>
      </c>
      <c r="J28" s="88">
        <v>89.12</v>
      </c>
      <c r="K28" s="41">
        <f t="shared" si="1"/>
        <v>0.17263157894736847</v>
      </c>
    </row>
  </sheetData>
  <sheetProtection password="ECAD" sheet="1" objects="1" scenarios="1" formatCells="0" formatColumns="0" formatRows="0"/>
  <mergeCells count="3">
    <mergeCell ref="A1:A2"/>
    <mergeCell ref="B1:F1"/>
    <mergeCell ref="G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304"/>
  <sheetViews>
    <sheetView zoomScale="85" zoomScaleNormal="85" workbookViewId="0">
      <pane xSplit="1" ySplit="2" topLeftCell="B294" activePane="bottomRight" state="frozen"/>
      <selection pane="topRight" activeCell="B1" sqref="B1"/>
      <selection pane="bottomLeft" activeCell="A2" sqref="A2"/>
      <selection pane="bottomRight" activeCell="B304" sqref="B304"/>
    </sheetView>
  </sheetViews>
  <sheetFormatPr defaultRowHeight="17" x14ac:dyDescent="0.4"/>
  <cols>
    <col min="1" max="1" width="10.36328125" style="96" bestFit="1" customWidth="1"/>
    <col min="2" max="5" width="8.26953125" style="88" bestFit="1" customWidth="1"/>
    <col min="6" max="6" width="8.26953125" style="46" bestFit="1" customWidth="1"/>
    <col min="7" max="9" width="7.26953125" style="88" bestFit="1" customWidth="1"/>
    <col min="10" max="10" width="7.36328125" style="88" bestFit="1" customWidth="1"/>
    <col min="11" max="11" width="8.26953125" style="46" bestFit="1" customWidth="1"/>
    <col min="12" max="16384" width="8.7265625" style="1"/>
  </cols>
  <sheetData>
    <row r="1" spans="1:11" x14ac:dyDescent="0.4">
      <c r="A1" s="95"/>
      <c r="B1" s="171" t="s">
        <v>300</v>
      </c>
      <c r="C1" s="172"/>
      <c r="D1" s="172"/>
      <c r="E1" s="172"/>
      <c r="F1" s="173"/>
      <c r="G1" s="171" t="s">
        <v>301</v>
      </c>
      <c r="H1" s="172"/>
      <c r="I1" s="172"/>
      <c r="J1" s="172"/>
      <c r="K1" s="173"/>
    </row>
    <row r="2" spans="1:11" s="3" customFormat="1" x14ac:dyDescent="0.4">
      <c r="A2" s="95" t="s">
        <v>354</v>
      </c>
      <c r="B2" s="27" t="s">
        <v>297</v>
      </c>
      <c r="C2" s="27" t="s">
        <v>298</v>
      </c>
      <c r="D2" s="27" t="s">
        <v>299</v>
      </c>
      <c r="E2" s="27" t="s">
        <v>307</v>
      </c>
      <c r="F2" s="26" t="s">
        <v>302</v>
      </c>
      <c r="G2" s="27" t="s">
        <v>297</v>
      </c>
      <c r="H2" s="27" t="s">
        <v>298</v>
      </c>
      <c r="I2" s="27" t="s">
        <v>299</v>
      </c>
      <c r="J2" s="27" t="s">
        <v>307</v>
      </c>
      <c r="K2" s="26" t="s">
        <v>302</v>
      </c>
    </row>
    <row r="3" spans="1:11" x14ac:dyDescent="0.4">
      <c r="A3" s="96">
        <v>36251</v>
      </c>
      <c r="B3" s="88">
        <v>54</v>
      </c>
      <c r="C3" s="88">
        <v>57.28125</v>
      </c>
      <c r="D3" s="88">
        <v>48.84375</v>
      </c>
      <c r="E3" s="88">
        <v>53.71875</v>
      </c>
      <c r="G3" s="88">
        <v>4.3862467221915393</v>
      </c>
      <c r="H3" s="88">
        <v>4.9312861738281253</v>
      </c>
      <c r="I3" s="88">
        <v>3.5827940208946893</v>
      </c>
      <c r="J3" s="88">
        <v>4.3077442246863011</v>
      </c>
    </row>
    <row r="4" spans="1:11" x14ac:dyDescent="0.4">
      <c r="A4" s="96">
        <v>36281</v>
      </c>
      <c r="B4" s="88">
        <v>53.5625</v>
      </c>
      <c r="C4" s="88">
        <v>56</v>
      </c>
      <c r="D4" s="88">
        <v>48.9375</v>
      </c>
      <c r="E4" s="88">
        <v>52.03125</v>
      </c>
      <c r="F4" s="41">
        <f t="shared" ref="F4:F67" si="0">(E4-E3)/E3</f>
        <v>-3.1413612565445025E-2</v>
      </c>
      <c r="G4" s="88">
        <v>4.315461193183693</v>
      </c>
      <c r="H4" s="88">
        <v>4.7131502748191973</v>
      </c>
      <c r="I4" s="88">
        <v>3.5965607479690558</v>
      </c>
      <c r="J4" s="88">
        <v>4.04135155532712</v>
      </c>
      <c r="K4" s="41">
        <f>(J4-J3)/J3</f>
        <v>-6.1840410076478121E-2</v>
      </c>
    </row>
    <row r="5" spans="1:11" x14ac:dyDescent="0.4">
      <c r="A5" s="96">
        <v>36312</v>
      </c>
      <c r="B5" s="88">
        <v>51.9375</v>
      </c>
      <c r="C5" s="88">
        <v>59.9375</v>
      </c>
      <c r="D5" s="88">
        <v>49.570312999999999</v>
      </c>
      <c r="E5" s="88">
        <v>57.625</v>
      </c>
      <c r="F5" s="41">
        <f t="shared" si="0"/>
        <v>0.10750750750750751</v>
      </c>
      <c r="G5" s="88">
        <v>4.0575849337750123</v>
      </c>
      <c r="H5" s="88">
        <v>5.3992381291553659</v>
      </c>
      <c r="I5" s="88">
        <v>3.6901767113820263</v>
      </c>
      <c r="J5" s="88">
        <v>4.9570122130183512</v>
      </c>
      <c r="K5" s="41">
        <f t="shared" ref="K5:K68" si="1">(J5-J4)/J4</f>
        <v>0.22657287918549185</v>
      </c>
    </row>
    <row r="6" spans="1:11" x14ac:dyDescent="0.4">
      <c r="A6" s="96">
        <v>36342</v>
      </c>
      <c r="B6" s="88">
        <v>57.8125</v>
      </c>
      <c r="C6" s="88">
        <v>61.71875</v>
      </c>
      <c r="D6" s="88">
        <v>55.78125</v>
      </c>
      <c r="E6" s="88">
        <v>56.59375</v>
      </c>
      <c r="F6" s="41">
        <f t="shared" si="0"/>
        <v>-1.7895878524945771E-2</v>
      </c>
      <c r="G6" s="88">
        <v>5.0274647843727704</v>
      </c>
      <c r="H6" s="88">
        <v>5.724920713686771</v>
      </c>
      <c r="I6" s="88">
        <v>4.6728337032623743</v>
      </c>
      <c r="J6" s="88">
        <v>4.7811795811627906</v>
      </c>
      <c r="K6" s="41">
        <f t="shared" si="1"/>
        <v>-3.5471494581711976E-2</v>
      </c>
    </row>
    <row r="7" spans="1:11" x14ac:dyDescent="0.4">
      <c r="A7" s="96">
        <v>36373</v>
      </c>
      <c r="B7" s="88">
        <v>56.6875</v>
      </c>
      <c r="C7" s="88">
        <v>61.75</v>
      </c>
      <c r="D7" s="88">
        <v>52.9375</v>
      </c>
      <c r="E7" s="88">
        <v>59.6875</v>
      </c>
      <c r="F7" s="41">
        <f t="shared" si="0"/>
        <v>5.4665930425179456E-2</v>
      </c>
      <c r="G7" s="88">
        <v>4.8337050429796644</v>
      </c>
      <c r="H7" s="88">
        <v>5.7307195694444442</v>
      </c>
      <c r="I7" s="88">
        <v>4.2085326105014644</v>
      </c>
      <c r="J7" s="88">
        <v>5.318202746526298</v>
      </c>
      <c r="K7" s="41">
        <f t="shared" si="1"/>
        <v>0.11232022479960949</v>
      </c>
    </row>
    <row r="8" spans="1:11" x14ac:dyDescent="0.4">
      <c r="A8" s="96">
        <v>36404</v>
      </c>
      <c r="B8" s="88">
        <v>60.0625</v>
      </c>
      <c r="C8" s="88">
        <v>63.75</v>
      </c>
      <c r="D8" s="88">
        <v>58.625</v>
      </c>
      <c r="E8" s="88">
        <v>60.1875</v>
      </c>
      <c r="F8" s="41">
        <f t="shared" si="0"/>
        <v>8.3769633507853412E-3</v>
      </c>
      <c r="G8" s="88">
        <v>5.4264067846646897</v>
      </c>
      <c r="H8" s="88">
        <v>6.1079519415680465</v>
      </c>
      <c r="I8" s="88">
        <v>5.1614241892059489</v>
      </c>
      <c r="J8" s="88">
        <v>5.4076767225057942</v>
      </c>
      <c r="K8" s="41">
        <f t="shared" si="1"/>
        <v>1.6824100216551195E-2</v>
      </c>
    </row>
    <row r="9" spans="1:11" x14ac:dyDescent="0.4">
      <c r="A9" s="96">
        <v>36434</v>
      </c>
      <c r="B9" s="88">
        <v>59.375</v>
      </c>
      <c r="C9" s="88">
        <v>66.25</v>
      </c>
      <c r="D9" s="88">
        <v>57.414062999999999</v>
      </c>
      <c r="E9" s="88">
        <v>65.75</v>
      </c>
      <c r="F9" s="41">
        <f t="shared" si="0"/>
        <v>9.2419522326064388E-2</v>
      </c>
      <c r="G9" s="88">
        <v>5.3028920004633164</v>
      </c>
      <c r="H9" s="88">
        <v>6.5964002321663378</v>
      </c>
      <c r="I9" s="88">
        <v>4.9504012810514642</v>
      </c>
      <c r="J9" s="88">
        <v>6.4534154791717775</v>
      </c>
      <c r="K9" s="41">
        <f t="shared" si="1"/>
        <v>0.19338041275910661</v>
      </c>
    </row>
    <row r="10" spans="1:11" x14ac:dyDescent="0.4">
      <c r="A10" s="96">
        <v>36465</v>
      </c>
      <c r="B10" s="88">
        <v>65.75</v>
      </c>
      <c r="C10" s="88">
        <v>78.78125</v>
      </c>
      <c r="D10" s="88">
        <v>65.195312999999999</v>
      </c>
      <c r="E10" s="88">
        <v>73.5</v>
      </c>
      <c r="F10" s="41">
        <f t="shared" si="0"/>
        <v>0.11787072243346007</v>
      </c>
      <c r="G10" s="88">
        <v>6.5027499041337995</v>
      </c>
      <c r="H10" s="88">
        <v>9.3278374172124128</v>
      </c>
      <c r="I10" s="88">
        <v>6.3831726430506546</v>
      </c>
      <c r="J10" s="88">
        <v>8.0644135430278272</v>
      </c>
      <c r="K10" s="41">
        <f t="shared" si="1"/>
        <v>0.24963495207390599</v>
      </c>
    </row>
    <row r="11" spans="1:11" x14ac:dyDescent="0.4">
      <c r="A11" s="96">
        <v>36495</v>
      </c>
      <c r="B11" s="88">
        <v>74.3125</v>
      </c>
      <c r="C11" s="88">
        <v>93.75</v>
      </c>
      <c r="D11" s="88">
        <v>73.75</v>
      </c>
      <c r="E11" s="88">
        <v>91.375</v>
      </c>
      <c r="F11" s="41">
        <f t="shared" si="0"/>
        <v>0.24319727891156462</v>
      </c>
      <c r="G11" s="88">
        <v>8.3067144396531862</v>
      </c>
      <c r="H11" s="88">
        <v>13.209238627958582</v>
      </c>
      <c r="I11" s="88">
        <v>8.1682287326507463</v>
      </c>
      <c r="J11" s="88">
        <v>12.463869467773534</v>
      </c>
      <c r="K11" s="41">
        <f t="shared" si="1"/>
        <v>0.54553947429311866</v>
      </c>
    </row>
    <row r="12" spans="1:11" x14ac:dyDescent="0.4">
      <c r="A12" s="96">
        <v>36526</v>
      </c>
      <c r="B12" s="88">
        <v>96.1875</v>
      </c>
      <c r="C12" s="88">
        <v>97.625</v>
      </c>
      <c r="D12" s="88">
        <v>79.75</v>
      </c>
      <c r="E12" s="88">
        <v>89.6875</v>
      </c>
      <c r="F12" s="41">
        <f t="shared" si="0"/>
        <v>-1.8467852257181942E-2</v>
      </c>
      <c r="G12" s="88">
        <v>13.916909766015927</v>
      </c>
      <c r="H12" s="88">
        <v>14.323769604885769</v>
      </c>
      <c r="I12" s="88">
        <v>9.5513602305460807</v>
      </c>
      <c r="J12" s="88">
        <v>12.007758614857725</v>
      </c>
      <c r="K12" s="41">
        <f t="shared" si="1"/>
        <v>-3.6594642947370859E-2</v>
      </c>
    </row>
    <row r="13" spans="1:11" x14ac:dyDescent="0.4">
      <c r="A13" s="96">
        <v>36557</v>
      </c>
      <c r="B13" s="88">
        <v>89.53125</v>
      </c>
      <c r="C13" s="88">
        <v>107.5</v>
      </c>
      <c r="D13" s="88">
        <v>88.4375</v>
      </c>
      <c r="E13" s="88">
        <v>106.75</v>
      </c>
      <c r="F13" s="41">
        <f t="shared" si="0"/>
        <v>0.19024390243902439</v>
      </c>
      <c r="G13" s="88">
        <v>12.057432324239059</v>
      </c>
      <c r="H13" s="88">
        <v>17.368094025312296</v>
      </c>
      <c r="I13" s="88">
        <v>11.745641894736886</v>
      </c>
      <c r="J13" s="88">
        <v>17.01115804626221</v>
      </c>
      <c r="K13" s="41">
        <f t="shared" si="1"/>
        <v>0.41668054729327758</v>
      </c>
    </row>
    <row r="14" spans="1:11" x14ac:dyDescent="0.4">
      <c r="A14" s="96">
        <v>36586</v>
      </c>
      <c r="B14" s="88">
        <v>107.25</v>
      </c>
      <c r="C14" s="88">
        <v>120.5</v>
      </c>
      <c r="D14" s="88">
        <v>101</v>
      </c>
      <c r="E14" s="88">
        <v>109.5</v>
      </c>
      <c r="F14" s="41">
        <f t="shared" si="0"/>
        <v>2.576112412177986E-2</v>
      </c>
      <c r="G14" s="88">
        <v>17.3021526277189</v>
      </c>
      <c r="H14" s="88">
        <v>21.822742435568706</v>
      </c>
      <c r="I14" s="88">
        <v>15.319570477774484</v>
      </c>
      <c r="J14" s="88">
        <v>17.898900362680251</v>
      </c>
      <c r="K14" s="41">
        <f t="shared" si="1"/>
        <v>5.2185883759577507E-2</v>
      </c>
    </row>
    <row r="15" spans="1:11" x14ac:dyDescent="0.4">
      <c r="A15" s="96">
        <v>36617</v>
      </c>
      <c r="B15" s="88">
        <v>107.765625</v>
      </c>
      <c r="C15" s="88">
        <v>109.125</v>
      </c>
      <c r="D15" s="88">
        <v>78</v>
      </c>
      <c r="E15" s="88">
        <v>94.75</v>
      </c>
      <c r="F15" s="41">
        <f t="shared" si="0"/>
        <v>-0.13470319634703196</v>
      </c>
      <c r="G15" s="88">
        <v>17.46891940022627</v>
      </c>
      <c r="H15" s="88">
        <v>17.89714458006657</v>
      </c>
      <c r="I15" s="88">
        <v>9.1367774518949076</v>
      </c>
      <c r="J15" s="88">
        <v>13.401596854714008</v>
      </c>
      <c r="K15" s="41">
        <f t="shared" si="1"/>
        <v>-0.25126144158795688</v>
      </c>
    </row>
    <row r="16" spans="1:11" x14ac:dyDescent="0.4">
      <c r="A16" s="96">
        <v>36647</v>
      </c>
      <c r="B16" s="88">
        <v>95.75</v>
      </c>
      <c r="C16" s="88">
        <v>96.875</v>
      </c>
      <c r="D16" s="88">
        <v>72.25</v>
      </c>
      <c r="E16" s="88">
        <v>83.125</v>
      </c>
      <c r="F16" s="41">
        <f t="shared" si="0"/>
        <v>-0.12269129287598944</v>
      </c>
      <c r="G16" s="88">
        <v>13.790598110244227</v>
      </c>
      <c r="H16" s="88">
        <v>14.104531468297994</v>
      </c>
      <c r="I16" s="88">
        <v>7.8393407868971332</v>
      </c>
      <c r="J16" s="88">
        <v>10.314814657855177</v>
      </c>
      <c r="K16" s="41">
        <f t="shared" si="1"/>
        <v>-0.2303294324043971</v>
      </c>
    </row>
    <row r="17" spans="1:11" x14ac:dyDescent="0.4">
      <c r="A17" s="96">
        <v>36678</v>
      </c>
      <c r="B17" s="88">
        <v>85.1875</v>
      </c>
      <c r="C17" s="88">
        <v>99.71875</v>
      </c>
      <c r="D17" s="88">
        <v>82.5</v>
      </c>
      <c r="E17" s="88">
        <v>93.4375</v>
      </c>
      <c r="F17" s="41">
        <f t="shared" si="0"/>
        <v>0.12406015037593984</v>
      </c>
      <c r="G17" s="88">
        <v>10.915843067932116</v>
      </c>
      <c r="H17" s="88">
        <v>14.944757928183812</v>
      </c>
      <c r="I17" s="88">
        <v>10.221431875733023</v>
      </c>
      <c r="J17" s="88">
        <v>13.032884069575877</v>
      </c>
      <c r="K17" s="41">
        <f t="shared" si="1"/>
        <v>0.26351122166318064</v>
      </c>
    </row>
    <row r="18" spans="1:11" x14ac:dyDescent="0.4">
      <c r="A18" s="96">
        <v>36708</v>
      </c>
      <c r="B18" s="88">
        <v>93.5</v>
      </c>
      <c r="C18" s="88">
        <v>102.0625</v>
      </c>
      <c r="D18" s="88">
        <v>85.71875</v>
      </c>
      <c r="E18" s="88">
        <v>89.4375</v>
      </c>
      <c r="F18" s="41">
        <f t="shared" si="0"/>
        <v>-4.2809364548494981E-2</v>
      </c>
      <c r="G18" s="88">
        <v>13.150091017516797</v>
      </c>
      <c r="H18" s="88">
        <v>15.655525043356549</v>
      </c>
      <c r="I18" s="88">
        <v>11.034572182503613</v>
      </c>
      <c r="J18" s="88">
        <v>11.940909705796921</v>
      </c>
      <c r="K18" s="41">
        <f t="shared" si="1"/>
        <v>-8.3786087403944165E-2</v>
      </c>
    </row>
    <row r="19" spans="1:11" x14ac:dyDescent="0.4">
      <c r="A19" s="96">
        <v>36739</v>
      </c>
      <c r="B19" s="88">
        <v>89.8125</v>
      </c>
      <c r="C19" s="88">
        <v>102</v>
      </c>
      <c r="D19" s="88">
        <v>83.3125</v>
      </c>
      <c r="E19" s="88">
        <v>101.625</v>
      </c>
      <c r="F19" s="41">
        <f t="shared" si="0"/>
        <v>0.13626834381551362</v>
      </c>
      <c r="G19" s="88">
        <v>12.133304810309955</v>
      </c>
      <c r="H19" s="88">
        <v>15.6363569704142</v>
      </c>
      <c r="I19" s="88">
        <v>10.42375451345235</v>
      </c>
      <c r="J19" s="88">
        <v>15.416977171322017</v>
      </c>
      <c r="K19" s="41">
        <f t="shared" si="1"/>
        <v>0.29110574915725052</v>
      </c>
    </row>
    <row r="20" spans="1:11" x14ac:dyDescent="0.4">
      <c r="A20" s="96">
        <v>36770</v>
      </c>
      <c r="B20" s="88">
        <v>103</v>
      </c>
      <c r="C20" s="88">
        <v>103.515625</v>
      </c>
      <c r="D20" s="88">
        <v>87</v>
      </c>
      <c r="E20" s="88">
        <v>88.75</v>
      </c>
      <c r="F20" s="41">
        <f t="shared" si="0"/>
        <v>-0.12669126691266913</v>
      </c>
      <c r="G20" s="88">
        <v>15.958056061635814</v>
      </c>
      <c r="H20" s="88">
        <v>16.104492754312346</v>
      </c>
      <c r="I20" s="88">
        <v>11.36690804296393</v>
      </c>
      <c r="J20" s="88">
        <v>11.758037354344044</v>
      </c>
      <c r="K20" s="41">
        <f t="shared" si="1"/>
        <v>-0.23733185671340115</v>
      </c>
    </row>
    <row r="21" spans="1:11" x14ac:dyDescent="0.4">
      <c r="A21" s="96">
        <v>36800</v>
      </c>
      <c r="B21" s="88">
        <v>90.25</v>
      </c>
      <c r="C21" s="88">
        <v>90.25</v>
      </c>
      <c r="D21" s="88">
        <v>73.625</v>
      </c>
      <c r="E21" s="88">
        <v>81.703125</v>
      </c>
      <c r="F21" s="41">
        <f t="shared" si="0"/>
        <v>-7.9401408450704231E-2</v>
      </c>
      <c r="G21" s="88">
        <v>12.251801677870445</v>
      </c>
      <c r="H21" s="88">
        <v>12.241359553665349</v>
      </c>
      <c r="I21" s="88">
        <v>8.1405632868713855</v>
      </c>
      <c r="J21" s="88">
        <v>9.9649574314666047</v>
      </c>
      <c r="K21" s="41">
        <f t="shared" si="1"/>
        <v>-0.15249823323745268</v>
      </c>
    </row>
    <row r="22" spans="1:11" x14ac:dyDescent="0.4">
      <c r="A22" s="96">
        <v>36831</v>
      </c>
      <c r="B22" s="88">
        <v>80.3125</v>
      </c>
      <c r="C22" s="88">
        <v>84.125</v>
      </c>
      <c r="D22" s="88">
        <v>60.5</v>
      </c>
      <c r="E22" s="88">
        <v>62.984375</v>
      </c>
      <c r="F22" s="41">
        <f t="shared" si="0"/>
        <v>-0.22910690380569898</v>
      </c>
      <c r="G22" s="88">
        <v>9.702235837634392</v>
      </c>
      <c r="H22" s="88">
        <v>10.636172875595822</v>
      </c>
      <c r="I22" s="88">
        <v>5.4968589198386466</v>
      </c>
      <c r="J22" s="88">
        <v>5.9219366943339491</v>
      </c>
      <c r="K22" s="41">
        <f t="shared" si="1"/>
        <v>-0.40572383423996417</v>
      </c>
    </row>
    <row r="23" spans="1:11" x14ac:dyDescent="0.4">
      <c r="A23" s="96">
        <v>36861</v>
      </c>
      <c r="B23" s="88">
        <v>64.0625</v>
      </c>
      <c r="C23" s="88">
        <v>74.78125</v>
      </c>
      <c r="D23" s="88">
        <v>54.25</v>
      </c>
      <c r="E23" s="88">
        <v>58.375</v>
      </c>
      <c r="F23" s="41">
        <f t="shared" si="0"/>
        <v>-7.3182833043909698E-2</v>
      </c>
      <c r="G23" s="88">
        <v>6.1732420033094408</v>
      </c>
      <c r="H23" s="88">
        <v>8.4046701479816388</v>
      </c>
      <c r="I23" s="88">
        <v>4.4198072139246296</v>
      </c>
      <c r="J23" s="88">
        <v>5.0868847620939075</v>
      </c>
      <c r="K23" s="41">
        <f t="shared" si="1"/>
        <v>-0.14100993903548667</v>
      </c>
    </row>
    <row r="24" spans="1:11" x14ac:dyDescent="0.4">
      <c r="A24" s="96">
        <v>36892</v>
      </c>
      <c r="B24" s="88">
        <v>58.5625</v>
      </c>
      <c r="C24" s="88">
        <v>69.125</v>
      </c>
      <c r="D24" s="88">
        <v>52.15625</v>
      </c>
      <c r="E24" s="88">
        <v>64.300003000000004</v>
      </c>
      <c r="F24" s="41">
        <f t="shared" si="0"/>
        <v>0.10149898072805145</v>
      </c>
      <c r="G24" s="88">
        <v>5.1587532263210818</v>
      </c>
      <c r="H24" s="88">
        <v>7.1813405432486812</v>
      </c>
      <c r="I24" s="88">
        <v>4.0852304288910037</v>
      </c>
      <c r="J24" s="88">
        <v>6.1719173049681055</v>
      </c>
      <c r="K24" s="41">
        <f t="shared" si="1"/>
        <v>0.21330000454493636</v>
      </c>
    </row>
    <row r="25" spans="1:11" x14ac:dyDescent="0.4">
      <c r="A25" s="96">
        <v>36923</v>
      </c>
      <c r="B25" s="88">
        <v>64.550003000000004</v>
      </c>
      <c r="C25" s="88">
        <v>65.610000999999997</v>
      </c>
      <c r="D25" s="88">
        <v>46.860000999999997</v>
      </c>
      <c r="E25" s="88">
        <v>47.450001</v>
      </c>
      <c r="F25" s="41">
        <f t="shared" si="0"/>
        <v>-0.26205289601619464</v>
      </c>
      <c r="G25" s="88">
        <v>6.2675538003311679</v>
      </c>
      <c r="H25" s="88">
        <v>6.4695685936164242</v>
      </c>
      <c r="I25" s="88">
        <v>3.2976793782225098</v>
      </c>
      <c r="J25" s="88">
        <v>3.3610158764355345</v>
      </c>
      <c r="K25" s="41">
        <f t="shared" si="1"/>
        <v>-0.45543407172191475</v>
      </c>
    </row>
    <row r="26" spans="1:11" x14ac:dyDescent="0.4">
      <c r="A26" s="96">
        <v>36951</v>
      </c>
      <c r="B26" s="88">
        <v>46.970001000000003</v>
      </c>
      <c r="C26" s="88">
        <v>50.66</v>
      </c>
      <c r="D26" s="88">
        <v>38</v>
      </c>
      <c r="E26" s="88">
        <v>39.150002000000001</v>
      </c>
      <c r="F26" s="41">
        <f t="shared" si="0"/>
        <v>-0.17492094468027514</v>
      </c>
      <c r="G26" s="88">
        <v>3.318537089585254</v>
      </c>
      <c r="H26" s="88">
        <v>3.8571417900018385</v>
      </c>
      <c r="I26" s="88">
        <v>2.1685579619553317</v>
      </c>
      <c r="J26" s="88">
        <v>2.2880298671091976</v>
      </c>
      <c r="K26" s="41">
        <f t="shared" si="1"/>
        <v>-0.31924455247271044</v>
      </c>
    </row>
    <row r="27" spans="1:11" x14ac:dyDescent="0.4">
      <c r="A27" s="96">
        <v>36982</v>
      </c>
      <c r="B27" s="88">
        <v>39.169998</v>
      </c>
      <c r="C27" s="88">
        <v>49.439999</v>
      </c>
      <c r="D27" s="88">
        <v>33.599997999999999</v>
      </c>
      <c r="E27" s="88">
        <v>46.150002000000001</v>
      </c>
      <c r="F27" s="41">
        <f t="shared" si="0"/>
        <v>0.17879948001024368</v>
      </c>
      <c r="G27" s="88">
        <v>2.3078768762972368</v>
      </c>
      <c r="H27" s="88">
        <v>3.6736023117181134</v>
      </c>
      <c r="I27" s="88">
        <v>1.6954396850934277</v>
      </c>
      <c r="J27" s="88">
        <v>3.1793735761832864</v>
      </c>
      <c r="K27" s="41">
        <f t="shared" si="1"/>
        <v>0.38956821407242093</v>
      </c>
    </row>
    <row r="28" spans="1:11" x14ac:dyDescent="0.4">
      <c r="A28" s="96">
        <v>37012</v>
      </c>
      <c r="B28" s="88">
        <v>46.200001</v>
      </c>
      <c r="C28" s="88">
        <v>51.950001</v>
      </c>
      <c r="D28" s="88">
        <v>43.349997999999999</v>
      </c>
      <c r="E28" s="88">
        <v>44.73</v>
      </c>
      <c r="F28" s="41">
        <f t="shared" si="0"/>
        <v>-3.0769272772729322E-2</v>
      </c>
      <c r="G28" s="88">
        <v>3.2106244372440709</v>
      </c>
      <c r="H28" s="88">
        <v>4.0560785185759087</v>
      </c>
      <c r="I28" s="88">
        <v>2.8221624228758042</v>
      </c>
      <c r="J28" s="88">
        <v>2.9867296166010573</v>
      </c>
      <c r="K28" s="41">
        <f t="shared" si="1"/>
        <v>-6.059179739849592E-2</v>
      </c>
    </row>
    <row r="29" spans="1:11" x14ac:dyDescent="0.4">
      <c r="A29" s="96">
        <v>37043</v>
      </c>
      <c r="B29" s="88">
        <v>45.540000999999997</v>
      </c>
      <c r="C29" s="88">
        <v>49.490001999999997</v>
      </c>
      <c r="D29" s="88">
        <v>41.259998000000003</v>
      </c>
      <c r="E29" s="88">
        <v>45.700001</v>
      </c>
      <c r="F29" s="41">
        <f t="shared" si="0"/>
        <v>2.1685691929353979E-2</v>
      </c>
      <c r="G29" s="88">
        <v>3.1195475418998355</v>
      </c>
      <c r="H29" s="88">
        <v>3.6810369408271484</v>
      </c>
      <c r="I29" s="88">
        <v>2.556596832697529</v>
      </c>
      <c r="J29" s="88">
        <v>3.1176727803351558</v>
      </c>
      <c r="K29" s="41">
        <f t="shared" si="1"/>
        <v>4.384165309316275E-2</v>
      </c>
    </row>
    <row r="30" spans="1:11" x14ac:dyDescent="0.4">
      <c r="A30" s="96">
        <v>37073</v>
      </c>
      <c r="B30" s="88">
        <v>45.650002000000001</v>
      </c>
      <c r="C30" s="88">
        <v>46.48</v>
      </c>
      <c r="D30" s="88">
        <v>39.310001</v>
      </c>
      <c r="E30" s="88">
        <v>41.759998000000003</v>
      </c>
      <c r="F30" s="41">
        <f t="shared" si="0"/>
        <v>-8.6214505772111413E-2</v>
      </c>
      <c r="G30" s="88">
        <v>3.1346361577005708</v>
      </c>
      <c r="H30" s="88">
        <v>3.2468892243229437</v>
      </c>
      <c r="I30" s="88">
        <v>2.3206516347412136</v>
      </c>
      <c r="J30" s="88">
        <v>2.6032690223544126</v>
      </c>
      <c r="K30" s="41">
        <f t="shared" si="1"/>
        <v>-0.16499607053869322</v>
      </c>
    </row>
    <row r="31" spans="1:11" x14ac:dyDescent="0.4">
      <c r="A31" s="96">
        <v>37104</v>
      </c>
      <c r="B31" s="88">
        <v>42.630001</v>
      </c>
      <c r="C31" s="88">
        <v>44</v>
      </c>
      <c r="D31" s="88">
        <v>35.75</v>
      </c>
      <c r="E31" s="88">
        <v>36.630001</v>
      </c>
      <c r="F31" s="41">
        <f t="shared" si="0"/>
        <v>-0.1228447616304963</v>
      </c>
      <c r="G31" s="88">
        <v>2.7336079114470806</v>
      </c>
      <c r="H31" s="88">
        <v>2.9096488941485852</v>
      </c>
      <c r="I31" s="88">
        <v>1.9193577633320886</v>
      </c>
      <c r="J31" s="88">
        <v>2.0029586018066512</v>
      </c>
      <c r="K31" s="41">
        <f t="shared" si="1"/>
        <v>-0.2305986878009392</v>
      </c>
    </row>
    <row r="32" spans="1:11" x14ac:dyDescent="0.4">
      <c r="A32" s="96">
        <v>37135</v>
      </c>
      <c r="B32" s="88">
        <v>36.509998000000003</v>
      </c>
      <c r="C32" s="88">
        <v>37.5</v>
      </c>
      <c r="D32" s="88">
        <v>27.200001</v>
      </c>
      <c r="E32" s="88">
        <v>28.98</v>
      </c>
      <c r="F32" s="41">
        <f t="shared" si="0"/>
        <v>-0.20884523044375564</v>
      </c>
      <c r="G32" s="88">
        <v>2.0050682283278793</v>
      </c>
      <c r="H32" s="88">
        <v>2.113478180473372</v>
      </c>
      <c r="I32" s="88">
        <v>1.1110706651956979</v>
      </c>
      <c r="J32" s="88">
        <v>1.2537036041912</v>
      </c>
      <c r="K32" s="41">
        <f t="shared" si="1"/>
        <v>-0.37407413060840589</v>
      </c>
    </row>
    <row r="33" spans="1:11" x14ac:dyDescent="0.4">
      <c r="A33" s="96">
        <v>37165</v>
      </c>
      <c r="B33" s="88">
        <v>28.85</v>
      </c>
      <c r="C33" s="88">
        <v>37.060001</v>
      </c>
      <c r="D33" s="88">
        <v>27.85</v>
      </c>
      <c r="E33" s="88">
        <v>33.900002000000001</v>
      </c>
      <c r="F33" s="41">
        <f t="shared" si="0"/>
        <v>0.16977232574189097</v>
      </c>
      <c r="G33" s="88">
        <v>1.2519793681177185</v>
      </c>
      <c r="H33" s="88">
        <v>2.064172968790615</v>
      </c>
      <c r="I33" s="88">
        <v>1.1648077201154428</v>
      </c>
      <c r="J33" s="88">
        <v>1.7155270084349152</v>
      </c>
      <c r="K33" s="41">
        <f t="shared" si="1"/>
        <v>0.36836729407159258</v>
      </c>
    </row>
    <row r="34" spans="1:11" x14ac:dyDescent="0.4">
      <c r="A34" s="96">
        <v>37196</v>
      </c>
      <c r="B34" s="88">
        <v>34.439999</v>
      </c>
      <c r="C34" s="88">
        <v>40.970001000000003</v>
      </c>
      <c r="D34" s="88">
        <v>33.779998999999997</v>
      </c>
      <c r="E34" s="88">
        <v>39.650002000000001</v>
      </c>
      <c r="F34" s="41">
        <f t="shared" si="0"/>
        <v>0.16961650916716758</v>
      </c>
      <c r="G34" s="88">
        <v>1.7841517791571107</v>
      </c>
      <c r="H34" s="88">
        <v>2.5227091487008293</v>
      </c>
      <c r="I34" s="88">
        <v>1.7136538702265207</v>
      </c>
      <c r="J34" s="88">
        <v>2.3468457141588761</v>
      </c>
      <c r="K34" s="41">
        <f t="shared" si="1"/>
        <v>0.36800277851639096</v>
      </c>
    </row>
    <row r="35" spans="1:11" x14ac:dyDescent="0.4">
      <c r="A35" s="96">
        <v>37226</v>
      </c>
      <c r="B35" s="88">
        <v>39.290000999999997</v>
      </c>
      <c r="C35" s="88">
        <v>43.240001999999997</v>
      </c>
      <c r="D35" s="88">
        <v>38.439999</v>
      </c>
      <c r="E35" s="88">
        <v>38.909999999999997</v>
      </c>
      <c r="F35" s="41">
        <f t="shared" si="0"/>
        <v>-1.8663353409162604E-2</v>
      </c>
      <c r="G35" s="88">
        <v>2.3220395724725336</v>
      </c>
      <c r="H35" s="88">
        <v>2.8100020958084437</v>
      </c>
      <c r="I35" s="88">
        <v>2.2190678264639789</v>
      </c>
      <c r="J35" s="88">
        <v>2.2600631473224988</v>
      </c>
      <c r="K35" s="41">
        <f t="shared" si="1"/>
        <v>-3.6978386057849873E-2</v>
      </c>
    </row>
    <row r="36" spans="1:11" x14ac:dyDescent="0.4">
      <c r="A36" s="96">
        <v>37257</v>
      </c>
      <c r="B36" s="88">
        <v>39.57</v>
      </c>
      <c r="C36" s="88">
        <v>42.599997999999999</v>
      </c>
      <c r="D36" s="88">
        <v>36.849997999999999</v>
      </c>
      <c r="E36" s="88">
        <v>38.509998000000003</v>
      </c>
      <c r="F36" s="41">
        <f t="shared" si="0"/>
        <v>-1.0280185042405385E-2</v>
      </c>
      <c r="G36" s="88">
        <v>2.3552533900144046</v>
      </c>
      <c r="H36" s="88">
        <v>2.7274348818909746</v>
      </c>
      <c r="I36" s="88">
        <v>2.0392890093129181</v>
      </c>
      <c r="J36" s="88">
        <v>2.2138342610542381</v>
      </c>
      <c r="K36" s="41">
        <f t="shared" si="1"/>
        <v>-2.0454687880304658E-2</v>
      </c>
    </row>
    <row r="37" spans="1:11" x14ac:dyDescent="0.4">
      <c r="A37" s="96">
        <v>37288</v>
      </c>
      <c r="B37" s="88">
        <v>38.400002000000001</v>
      </c>
      <c r="C37" s="88">
        <v>38.880001</v>
      </c>
      <c r="D37" s="88">
        <v>33.090000000000003</v>
      </c>
      <c r="E37" s="88">
        <v>33.779998999999997</v>
      </c>
      <c r="F37" s="41">
        <f t="shared" si="0"/>
        <v>-0.12282522060894437</v>
      </c>
      <c r="G37" s="88">
        <v>2.2180331414273895</v>
      </c>
      <c r="H37" s="88">
        <v>2.2718924481142273</v>
      </c>
      <c r="I37" s="88">
        <v>1.6443617868302376</v>
      </c>
      <c r="J37" s="88">
        <v>1.7034028787857249</v>
      </c>
      <c r="K37" s="41">
        <f t="shared" si="1"/>
        <v>-0.230564406400253</v>
      </c>
    </row>
    <row r="38" spans="1:11" x14ac:dyDescent="0.4">
      <c r="A38" s="96">
        <v>37316</v>
      </c>
      <c r="B38" s="88">
        <v>34.150002000000001</v>
      </c>
      <c r="C38" s="88">
        <v>39.189999</v>
      </c>
      <c r="D38" s="88">
        <v>34.090000000000003</v>
      </c>
      <c r="E38" s="88">
        <v>36.060001</v>
      </c>
      <c r="F38" s="41">
        <f t="shared" si="0"/>
        <v>6.7495620707389709E-2</v>
      </c>
      <c r="G38" s="88">
        <v>1.7542318988794035</v>
      </c>
      <c r="H38" s="88">
        <v>2.3082653795857855</v>
      </c>
      <c r="I38" s="88">
        <v>1.7452507922901814</v>
      </c>
      <c r="J38" s="88">
        <v>1.9411074703622033</v>
      </c>
      <c r="K38" s="41">
        <f t="shared" si="1"/>
        <v>0.13954690022945523</v>
      </c>
    </row>
    <row r="39" spans="1:11" x14ac:dyDescent="0.4">
      <c r="A39" s="96">
        <v>37347</v>
      </c>
      <c r="B39" s="88">
        <v>35.799999</v>
      </c>
      <c r="C39" s="88">
        <v>36.900002000000001</v>
      </c>
      <c r="D39" s="88">
        <v>30.559999000000001</v>
      </c>
      <c r="E39" s="88">
        <v>31.73</v>
      </c>
      <c r="F39" s="41">
        <f t="shared" si="0"/>
        <v>-0.12007767276545553</v>
      </c>
      <c r="G39" s="88">
        <v>1.92784257029297</v>
      </c>
      <c r="H39" s="88">
        <v>2.0463881509431006</v>
      </c>
      <c r="I39" s="88">
        <v>1.4025246817978576</v>
      </c>
      <c r="J39" s="88">
        <v>1.5029282794732308</v>
      </c>
      <c r="K39" s="41">
        <f t="shared" si="1"/>
        <v>-0.22573669803414331</v>
      </c>
    </row>
    <row r="40" spans="1:11" x14ac:dyDescent="0.4">
      <c r="A40" s="96">
        <v>37377</v>
      </c>
      <c r="B40" s="88">
        <v>31.67</v>
      </c>
      <c r="C40" s="88">
        <v>33.630001</v>
      </c>
      <c r="D40" s="88">
        <v>28.42</v>
      </c>
      <c r="E40" s="88">
        <v>30.040001</v>
      </c>
      <c r="F40" s="41">
        <f t="shared" si="0"/>
        <v>-5.3261865742199821E-2</v>
      </c>
      <c r="G40" s="88">
        <v>1.5086957390327489</v>
      </c>
      <c r="H40" s="88">
        <v>1.6997654349667259</v>
      </c>
      <c r="I40" s="88">
        <v>1.2129753871625057</v>
      </c>
      <c r="J40" s="88">
        <v>1.3470942975241711</v>
      </c>
      <c r="K40" s="41">
        <f t="shared" si="1"/>
        <v>-0.10368690514205961</v>
      </c>
    </row>
    <row r="41" spans="1:11" x14ac:dyDescent="0.4">
      <c r="A41" s="96">
        <v>37408</v>
      </c>
      <c r="B41" s="88">
        <v>30</v>
      </c>
      <c r="C41" s="88">
        <v>30.25</v>
      </c>
      <c r="D41" s="88">
        <v>24.389999</v>
      </c>
      <c r="E41" s="88">
        <v>26.1</v>
      </c>
      <c r="F41" s="41">
        <f t="shared" si="0"/>
        <v>-0.13115848431562965</v>
      </c>
      <c r="G41" s="88">
        <v>1.3537798525282523</v>
      </c>
      <c r="H41" s="88">
        <v>1.3752637351249168</v>
      </c>
      <c r="I41" s="88">
        <v>0.89336185804559065</v>
      </c>
      <c r="J41" s="88">
        <v>1.0169020592616014</v>
      </c>
      <c r="K41" s="41">
        <f t="shared" si="1"/>
        <v>-0.24511442062328606</v>
      </c>
    </row>
    <row r="42" spans="1:11" x14ac:dyDescent="0.4">
      <c r="A42" s="96">
        <v>37438</v>
      </c>
      <c r="B42" s="88">
        <v>25.969999000000001</v>
      </c>
      <c r="C42" s="88">
        <v>26.549999</v>
      </c>
      <c r="D42" s="88">
        <v>21.639999</v>
      </c>
      <c r="E42" s="88">
        <v>23.85</v>
      </c>
      <c r="F42" s="41">
        <f t="shared" si="0"/>
        <v>-8.620689655172413E-2</v>
      </c>
      <c r="G42" s="88">
        <v>1.0144938131396639</v>
      </c>
      <c r="H42" s="88">
        <v>1.0594104468518692</v>
      </c>
      <c r="I42" s="88">
        <v>0.70326388277402418</v>
      </c>
      <c r="J42" s="88">
        <v>0.84913135685667018</v>
      </c>
      <c r="K42" s="41">
        <f t="shared" si="1"/>
        <v>-0.16498216409036853</v>
      </c>
    </row>
    <row r="43" spans="1:11" x14ac:dyDescent="0.4">
      <c r="A43" s="96">
        <v>37469</v>
      </c>
      <c r="B43" s="88">
        <v>23.74</v>
      </c>
      <c r="C43" s="88">
        <v>26.209999</v>
      </c>
      <c r="D43" s="88">
        <v>21.299999</v>
      </c>
      <c r="E43" s="88">
        <v>23.49</v>
      </c>
      <c r="F43" s="41">
        <f t="shared" si="0"/>
        <v>-1.5094339622641634E-2</v>
      </c>
      <c r="G43" s="88">
        <v>0.84774837557194616</v>
      </c>
      <c r="H43" s="88">
        <v>1.0324505069013352</v>
      </c>
      <c r="I43" s="88">
        <v>0.68133862145356472</v>
      </c>
      <c r="J43" s="88">
        <v>0.82369066800189694</v>
      </c>
      <c r="K43" s="41">
        <f t="shared" si="1"/>
        <v>-2.9960840156639655E-2</v>
      </c>
    </row>
    <row r="44" spans="1:11" x14ac:dyDescent="0.4">
      <c r="A44" s="96">
        <v>37500</v>
      </c>
      <c r="B44" s="88">
        <v>23.059999000000001</v>
      </c>
      <c r="C44" s="88">
        <v>24.35</v>
      </c>
      <c r="D44" s="88">
        <v>20.49</v>
      </c>
      <c r="E44" s="88">
        <v>20.719999000000001</v>
      </c>
      <c r="F44" s="41">
        <f t="shared" si="0"/>
        <v>-0.11792256279267761</v>
      </c>
      <c r="G44" s="88">
        <v>0.79987865061285246</v>
      </c>
      <c r="H44" s="88">
        <v>0.89111378948389153</v>
      </c>
      <c r="I44" s="88">
        <v>0.63050387230133143</v>
      </c>
      <c r="J44" s="88">
        <v>0.64088125966805487</v>
      </c>
      <c r="K44" s="41">
        <f t="shared" si="1"/>
        <v>-0.22193939476976213</v>
      </c>
    </row>
    <row r="45" spans="1:11" x14ac:dyDescent="0.4">
      <c r="A45" s="96">
        <v>37530</v>
      </c>
      <c r="B45" s="88">
        <v>20.91</v>
      </c>
      <c r="C45" s="88">
        <v>25.040001</v>
      </c>
      <c r="D45" s="88">
        <v>19.760000000000002</v>
      </c>
      <c r="E45" s="88">
        <v>24.549999</v>
      </c>
      <c r="F45" s="41">
        <f t="shared" si="0"/>
        <v>0.18484556876667793</v>
      </c>
      <c r="G45" s="88">
        <v>0.65767843637689771</v>
      </c>
      <c r="H45" s="88">
        <v>0.94233195133502712</v>
      </c>
      <c r="I45" s="88">
        <v>0.58637807291272181</v>
      </c>
      <c r="J45" s="88">
        <v>0.8997069383042311</v>
      </c>
      <c r="K45" s="41">
        <f t="shared" si="1"/>
        <v>0.40385902182603256</v>
      </c>
    </row>
    <row r="46" spans="1:11" x14ac:dyDescent="0.4">
      <c r="A46" s="96">
        <v>37561</v>
      </c>
      <c r="B46" s="88">
        <v>24.370000999999998</v>
      </c>
      <c r="C46" s="88">
        <v>28.290001</v>
      </c>
      <c r="D46" s="88">
        <v>24.139999</v>
      </c>
      <c r="E46" s="88">
        <v>27.719999000000001</v>
      </c>
      <c r="F46" s="41">
        <f t="shared" si="0"/>
        <v>0.12912424151218913</v>
      </c>
      <c r="G46" s="88">
        <v>0.89333969298024163</v>
      </c>
      <c r="H46" s="88">
        <v>1.202821434480061</v>
      </c>
      <c r="I46" s="88">
        <v>0.87514161677887048</v>
      </c>
      <c r="J46" s="88">
        <v>1.1470557668212018</v>
      </c>
      <c r="K46" s="41">
        <f t="shared" si="1"/>
        <v>0.2749215527704767</v>
      </c>
    </row>
    <row r="47" spans="1:11" x14ac:dyDescent="0.4">
      <c r="A47" s="96">
        <v>37591</v>
      </c>
      <c r="B47" s="88">
        <v>28.42</v>
      </c>
      <c r="C47" s="88">
        <v>28.790001</v>
      </c>
      <c r="D47" s="88">
        <v>24.280000999999999</v>
      </c>
      <c r="E47" s="88">
        <v>24.370000999999998</v>
      </c>
      <c r="F47" s="41">
        <f t="shared" si="0"/>
        <v>-0.12085130306101392</v>
      </c>
      <c r="G47" s="88">
        <v>1.2149367925328893</v>
      </c>
      <c r="H47" s="88">
        <v>1.2457147104865949</v>
      </c>
      <c r="I47" s="88">
        <v>0.88532197046007244</v>
      </c>
      <c r="J47" s="88">
        <v>0.88656219104665057</v>
      </c>
      <c r="K47" s="41">
        <f t="shared" si="1"/>
        <v>-0.22709756867048284</v>
      </c>
    </row>
    <row r="48" spans="1:11" x14ac:dyDescent="0.4">
      <c r="A48" s="96">
        <v>37622</v>
      </c>
      <c r="B48" s="88">
        <v>24.719999000000001</v>
      </c>
      <c r="C48" s="88">
        <v>27.469999000000001</v>
      </c>
      <c r="D48" s="88">
        <v>24.01</v>
      </c>
      <c r="E48" s="88">
        <v>24.440000999999999</v>
      </c>
      <c r="F48" s="41">
        <f t="shared" si="0"/>
        <v>2.8723839609198329E-3</v>
      </c>
      <c r="G48" s="88">
        <v>0.91918395478258419</v>
      </c>
      <c r="H48" s="88">
        <v>1.1341030549341009</v>
      </c>
      <c r="I48" s="88">
        <v>0.86574135094446392</v>
      </c>
      <c r="J48" s="88">
        <v>0.89166259974330142</v>
      </c>
      <c r="K48" s="41">
        <f t="shared" si="1"/>
        <v>5.7530185114587941E-3</v>
      </c>
    </row>
    <row r="49" spans="1:11" x14ac:dyDescent="0.4">
      <c r="A49" s="96">
        <v>37653</v>
      </c>
      <c r="B49" s="88">
        <v>24.52</v>
      </c>
      <c r="C49" s="88">
        <v>25.370000999999998</v>
      </c>
      <c r="D49" s="88">
        <v>23.32</v>
      </c>
      <c r="E49" s="88">
        <v>25.16</v>
      </c>
      <c r="F49" s="41">
        <f t="shared" si="0"/>
        <v>2.9459859678401871E-2</v>
      </c>
      <c r="G49" s="88">
        <v>0.90437066916389108</v>
      </c>
      <c r="H49" s="88">
        <v>0.96733344109184427</v>
      </c>
      <c r="I49" s="88">
        <v>0.81669694972967943</v>
      </c>
      <c r="J49" s="88">
        <v>0.94497296898946137</v>
      </c>
      <c r="K49" s="41">
        <f t="shared" si="1"/>
        <v>5.9787602689074702E-2</v>
      </c>
    </row>
    <row r="50" spans="1:11" x14ac:dyDescent="0.4">
      <c r="A50" s="96">
        <v>37681</v>
      </c>
      <c r="B50" s="88">
        <v>25.27</v>
      </c>
      <c r="C50" s="88">
        <v>27.379999000000002</v>
      </c>
      <c r="D50" s="88">
        <v>23.540001</v>
      </c>
      <c r="E50" s="88">
        <v>25.25</v>
      </c>
      <c r="F50" s="41">
        <f t="shared" si="0"/>
        <v>3.5771065182829834E-3</v>
      </c>
      <c r="G50" s="88">
        <v>0.96054125154504233</v>
      </c>
      <c r="H50" s="88">
        <v>1.1266839013998924</v>
      </c>
      <c r="I50" s="88">
        <v>0.83217908258085727</v>
      </c>
      <c r="J50" s="88">
        <v>0.95174559850556362</v>
      </c>
      <c r="K50" s="41">
        <f t="shared" si="1"/>
        <v>7.1670087276091985E-3</v>
      </c>
    </row>
    <row r="51" spans="1:11" x14ac:dyDescent="0.4">
      <c r="A51" s="96">
        <v>37712</v>
      </c>
      <c r="B51" s="88">
        <v>25.440000999999999</v>
      </c>
      <c r="C51" s="88">
        <v>28.059999000000001</v>
      </c>
      <c r="D51" s="88">
        <v>25.25</v>
      </c>
      <c r="E51" s="88">
        <v>27.450001</v>
      </c>
      <c r="F51" s="41">
        <f t="shared" si="0"/>
        <v>8.712875247524754E-2</v>
      </c>
      <c r="G51" s="88">
        <v>0.97350858360616532</v>
      </c>
      <c r="H51" s="88">
        <v>1.183342698731072</v>
      </c>
      <c r="I51" s="88">
        <v>0.95747315486090434</v>
      </c>
      <c r="J51" s="88">
        <v>1.1248195119518052</v>
      </c>
      <c r="K51" s="41">
        <f t="shared" si="1"/>
        <v>0.18184892445838804</v>
      </c>
    </row>
    <row r="52" spans="1:11" x14ac:dyDescent="0.4">
      <c r="A52" s="96">
        <v>37742</v>
      </c>
      <c r="B52" s="88">
        <v>27.440000999999999</v>
      </c>
      <c r="C52" s="88">
        <v>29.870000999999998</v>
      </c>
      <c r="D52" s="88">
        <v>27.190000999999999</v>
      </c>
      <c r="E52" s="88">
        <v>29.790001</v>
      </c>
      <c r="F52" s="41">
        <f t="shared" si="0"/>
        <v>8.5245898533847037E-2</v>
      </c>
      <c r="G52" s="88">
        <v>1.1325927642933957</v>
      </c>
      <c r="H52" s="88">
        <v>1.3409287656240214</v>
      </c>
      <c r="I52" s="88">
        <v>1.1102538516784686</v>
      </c>
      <c r="J52" s="88">
        <v>1.3247659214582648</v>
      </c>
      <c r="K52" s="41">
        <f t="shared" si="1"/>
        <v>0.17775866028453696</v>
      </c>
    </row>
    <row r="53" spans="1:11" x14ac:dyDescent="0.4">
      <c r="A53" s="96">
        <v>37773</v>
      </c>
      <c r="B53" s="88">
        <v>30.08</v>
      </c>
      <c r="C53" s="88">
        <v>31.469999000000001</v>
      </c>
      <c r="D53" s="88">
        <v>29.309999000000001</v>
      </c>
      <c r="E53" s="88">
        <v>29.950001</v>
      </c>
      <c r="F53" s="41">
        <f t="shared" si="0"/>
        <v>5.370929661935901E-3</v>
      </c>
      <c r="G53" s="88">
        <v>1.3610096386206874</v>
      </c>
      <c r="H53" s="88">
        <v>1.4884309474998443</v>
      </c>
      <c r="I53" s="88">
        <v>1.2901358652767789</v>
      </c>
      <c r="J53" s="88">
        <v>1.3390345859943913</v>
      </c>
      <c r="K53" s="41">
        <f t="shared" si="1"/>
        <v>1.0770706209305246E-2</v>
      </c>
    </row>
    <row r="54" spans="1:11" x14ac:dyDescent="0.4">
      <c r="A54" s="96">
        <v>37803</v>
      </c>
      <c r="B54" s="88">
        <v>29.700001</v>
      </c>
      <c r="C54" s="88">
        <v>32.75</v>
      </c>
      <c r="D54" s="88">
        <v>29.26</v>
      </c>
      <c r="E54" s="88">
        <v>31.799999</v>
      </c>
      <c r="F54" s="41">
        <f t="shared" si="0"/>
        <v>6.1769547186325616E-2</v>
      </c>
      <c r="G54" s="88">
        <v>1.3268397228124118</v>
      </c>
      <c r="H54" s="88">
        <v>1.6119732913379345</v>
      </c>
      <c r="I54" s="88">
        <v>1.2857380156433158</v>
      </c>
      <c r="J54" s="88">
        <v>1.5095667616927704</v>
      </c>
      <c r="K54" s="41">
        <f t="shared" si="1"/>
        <v>0.12735457133225489</v>
      </c>
    </row>
    <row r="55" spans="1:11" x14ac:dyDescent="0.4">
      <c r="A55" s="96">
        <v>37834</v>
      </c>
      <c r="B55" s="88">
        <v>31.690000999999999</v>
      </c>
      <c r="C55" s="88">
        <v>33.459999000000003</v>
      </c>
      <c r="D55" s="88">
        <v>29.93</v>
      </c>
      <c r="E55" s="88">
        <v>33.389999000000003</v>
      </c>
      <c r="F55" s="41">
        <f t="shared" si="0"/>
        <v>5.0000001572327202E-2</v>
      </c>
      <c r="G55" s="88">
        <v>1.5106019564012956</v>
      </c>
      <c r="H55" s="88">
        <v>1.6826240047244119</v>
      </c>
      <c r="I55" s="88">
        <v>1.3452942162421047</v>
      </c>
      <c r="J55" s="88">
        <v>1.6642973597506985</v>
      </c>
      <c r="K55" s="41">
        <f t="shared" si="1"/>
        <v>0.10250000330188719</v>
      </c>
    </row>
    <row r="56" spans="1:11" x14ac:dyDescent="0.4">
      <c r="A56" s="96">
        <v>37865</v>
      </c>
      <c r="B56" s="88">
        <v>33.490001999999997</v>
      </c>
      <c r="C56" s="88">
        <v>34.860000999999997</v>
      </c>
      <c r="D56" s="88">
        <v>32.360000999999997</v>
      </c>
      <c r="E56" s="88">
        <v>32.419998</v>
      </c>
      <c r="F56" s="41">
        <f t="shared" si="0"/>
        <v>-2.9050644775401261E-2</v>
      </c>
      <c r="G56" s="88">
        <v>1.6870808041433074</v>
      </c>
      <c r="H56" s="88">
        <v>1.826375293465087</v>
      </c>
      <c r="I56" s="88">
        <v>1.5726094971929723</v>
      </c>
      <c r="J56" s="88">
        <v>1.5690041040035096</v>
      </c>
      <c r="K56" s="41">
        <f t="shared" si="1"/>
        <v>-5.7257349588935941E-2</v>
      </c>
    </row>
    <row r="57" spans="1:11" x14ac:dyDescent="0.4">
      <c r="A57" s="96">
        <v>37895</v>
      </c>
      <c r="B57" s="88">
        <v>32.610000999999997</v>
      </c>
      <c r="C57" s="88">
        <v>36</v>
      </c>
      <c r="D57" s="88">
        <v>32.419998</v>
      </c>
      <c r="E57" s="88">
        <v>35.18</v>
      </c>
      <c r="F57" s="41">
        <f t="shared" si="0"/>
        <v>8.5132701118612042E-2</v>
      </c>
      <c r="G57" s="88">
        <v>1.5995844046758692</v>
      </c>
      <c r="H57" s="88">
        <v>1.947781491124259</v>
      </c>
      <c r="I57" s="88">
        <v>1.5784462904885865</v>
      </c>
      <c r="J57" s="88">
        <v>1.8475226966264127</v>
      </c>
      <c r="K57" s="41">
        <f t="shared" si="1"/>
        <v>0.17751297903697516</v>
      </c>
    </row>
    <row r="58" spans="1:11" x14ac:dyDescent="0.4">
      <c r="A58" s="96">
        <v>37926</v>
      </c>
      <c r="B58" s="88">
        <v>35.43</v>
      </c>
      <c r="C58" s="88">
        <v>36.18</v>
      </c>
      <c r="D58" s="88">
        <v>33.729999999999997</v>
      </c>
      <c r="E58" s="88">
        <v>35.380001</v>
      </c>
      <c r="F58" s="41">
        <f t="shared" si="0"/>
        <v>5.685076748152368E-3</v>
      </c>
      <c r="G58" s="88">
        <v>1.8881993408921578</v>
      </c>
      <c r="H58" s="88">
        <v>1.9673080005727799</v>
      </c>
      <c r="I58" s="88">
        <v>1.7085847421844103</v>
      </c>
      <c r="J58" s="88">
        <v>1.8685890253888948</v>
      </c>
      <c r="K58" s="41">
        <f t="shared" si="1"/>
        <v>1.1402473593937111E-2</v>
      </c>
    </row>
    <row r="59" spans="1:11" x14ac:dyDescent="0.4">
      <c r="A59" s="96">
        <v>37956</v>
      </c>
      <c r="B59" s="88">
        <v>35.709999000000003</v>
      </c>
      <c r="C59" s="88">
        <v>36.639999000000003</v>
      </c>
      <c r="D59" s="88">
        <v>34.130001</v>
      </c>
      <c r="E59" s="88">
        <v>36.459999000000003</v>
      </c>
      <c r="F59" s="41">
        <f t="shared" si="0"/>
        <v>3.0525663354277557E-2</v>
      </c>
      <c r="G59" s="88">
        <v>1.918161690838297</v>
      </c>
      <c r="H59" s="88">
        <v>2.0176514291461305</v>
      </c>
      <c r="I59" s="88">
        <v>1.7493489287114772</v>
      </c>
      <c r="J59" s="88">
        <v>1.9844100458434597</v>
      </c>
      <c r="K59" s="41">
        <f t="shared" si="1"/>
        <v>6.1983142831773808E-2</v>
      </c>
    </row>
    <row r="60" spans="1:11" x14ac:dyDescent="0.4">
      <c r="A60" s="96">
        <v>37987</v>
      </c>
      <c r="B60" s="88">
        <v>36.659999999999997</v>
      </c>
      <c r="C60" s="88">
        <v>39</v>
      </c>
      <c r="D60" s="88">
        <v>36.220001000000003</v>
      </c>
      <c r="E60" s="88">
        <v>37.07</v>
      </c>
      <c r="F60" s="41">
        <f t="shared" si="0"/>
        <v>1.6730691627281635E-2</v>
      </c>
      <c r="G60" s="88">
        <v>2.0215777933027983</v>
      </c>
      <c r="H60" s="88">
        <v>2.2859379999999989</v>
      </c>
      <c r="I60" s="88">
        <v>1.9701566427335049</v>
      </c>
      <c r="J60" s="88">
        <v>2.0513666191280202</v>
      </c>
      <c r="K60" s="41">
        <f t="shared" si="1"/>
        <v>3.374129929689057E-2</v>
      </c>
    </row>
    <row r="61" spans="1:11" x14ac:dyDescent="0.4">
      <c r="A61" s="96">
        <v>38018</v>
      </c>
      <c r="B61" s="88">
        <v>37.200001</v>
      </c>
      <c r="C61" s="88">
        <v>37.970001000000003</v>
      </c>
      <c r="D61" s="88">
        <v>36.099997999999999</v>
      </c>
      <c r="E61" s="88">
        <v>36.57</v>
      </c>
      <c r="F61" s="41">
        <f t="shared" si="0"/>
        <v>-1.348799568384138E-2</v>
      </c>
      <c r="G61" s="88">
        <v>2.08157201315991</v>
      </c>
      <c r="H61" s="88">
        <v>2.1667881422079769</v>
      </c>
      <c r="I61" s="88">
        <v>1.9571233438088955</v>
      </c>
      <c r="J61" s="88">
        <v>1.9964021678985724</v>
      </c>
      <c r="K61" s="41">
        <f t="shared" si="1"/>
        <v>-2.679406534011541E-2</v>
      </c>
    </row>
    <row r="62" spans="1:11" x14ac:dyDescent="0.4">
      <c r="A62" s="96">
        <v>38047</v>
      </c>
      <c r="B62" s="88">
        <v>36.68</v>
      </c>
      <c r="C62" s="88">
        <v>37.18</v>
      </c>
      <c r="D62" s="88">
        <v>34.009998000000003</v>
      </c>
      <c r="E62" s="88">
        <v>35.840000000000003</v>
      </c>
      <c r="F62" s="41">
        <f t="shared" si="0"/>
        <v>-1.996171725458017E-2</v>
      </c>
      <c r="G62" s="88">
        <v>2.0237841536224521</v>
      </c>
      <c r="H62" s="88">
        <v>2.0775620516444433</v>
      </c>
      <c r="I62" s="88">
        <v>1.7370689371742878</v>
      </c>
      <c r="J62" s="88">
        <v>1.9174944433773138</v>
      </c>
      <c r="K62" s="41">
        <f t="shared" si="1"/>
        <v>-3.9524964353408541E-2</v>
      </c>
    </row>
    <row r="63" spans="1:11" x14ac:dyDescent="0.4">
      <c r="A63" s="96">
        <v>38078</v>
      </c>
      <c r="B63" s="88">
        <v>35.810001</v>
      </c>
      <c r="C63" s="88">
        <v>37.5</v>
      </c>
      <c r="D63" s="88">
        <v>34.720001000000003</v>
      </c>
      <c r="E63" s="88">
        <v>34.770000000000003</v>
      </c>
      <c r="F63" s="41">
        <f t="shared" si="0"/>
        <v>-2.9854910714285719E-2</v>
      </c>
      <c r="G63" s="88">
        <v>1.9289199432271322</v>
      </c>
      <c r="H63" s="88">
        <v>2.113478180473372</v>
      </c>
      <c r="I63" s="88">
        <v>1.8103531391065373</v>
      </c>
      <c r="J63" s="88">
        <v>1.8047102854630521</v>
      </c>
      <c r="K63" s="41">
        <f t="shared" si="1"/>
        <v>-5.8818505734813557E-2</v>
      </c>
    </row>
    <row r="64" spans="1:11" x14ac:dyDescent="0.4">
      <c r="A64" s="96">
        <v>38108</v>
      </c>
      <c r="B64" s="88">
        <v>35</v>
      </c>
      <c r="C64" s="88">
        <v>36.549999</v>
      </c>
      <c r="D64" s="88">
        <v>34.110000999999997</v>
      </c>
      <c r="E64" s="88">
        <v>36.549999</v>
      </c>
      <c r="F64" s="41">
        <f t="shared" si="0"/>
        <v>5.1193528904227681E-2</v>
      </c>
      <c r="G64" s="88">
        <v>1.8426447992745656</v>
      </c>
      <c r="H64" s="88">
        <v>2.0077515594628093</v>
      </c>
      <c r="I64" s="88">
        <v>1.7472993109876407</v>
      </c>
      <c r="J64" s="88">
        <v>1.994219005720971</v>
      </c>
      <c r="K64" s="41">
        <f t="shared" si="1"/>
        <v>0.10500783521012337</v>
      </c>
    </row>
    <row r="65" spans="1:11" x14ac:dyDescent="0.4">
      <c r="A65" s="96">
        <v>38139</v>
      </c>
      <c r="B65" s="88">
        <v>36.270000000000003</v>
      </c>
      <c r="C65" s="88">
        <v>37.900002000000001</v>
      </c>
      <c r="D65" s="88">
        <v>35.82</v>
      </c>
      <c r="E65" s="88">
        <v>37.740001999999997</v>
      </c>
      <c r="F65" s="41">
        <f t="shared" si="0"/>
        <v>3.2558222505012856E-2</v>
      </c>
      <c r="G65" s="88">
        <v>1.9787942886233487</v>
      </c>
      <c r="H65" s="88">
        <v>2.15880640968324</v>
      </c>
      <c r="I65" s="88">
        <v>1.926881488078348</v>
      </c>
      <c r="J65" s="88">
        <v>2.1261894055775583</v>
      </c>
      <c r="K65" s="41">
        <f t="shared" si="1"/>
        <v>6.6176482862711453E-2</v>
      </c>
    </row>
    <row r="66" spans="1:11" x14ac:dyDescent="0.4">
      <c r="A66" s="96">
        <v>38169</v>
      </c>
      <c r="B66" s="88">
        <v>37.659999999999997</v>
      </c>
      <c r="C66" s="88">
        <v>37.659999999999997</v>
      </c>
      <c r="D66" s="88">
        <v>33.700001</v>
      </c>
      <c r="E66" s="88">
        <v>34.889999000000003</v>
      </c>
      <c r="F66" s="41">
        <f t="shared" si="0"/>
        <v>-7.5516768653059271E-2</v>
      </c>
      <c r="G66" s="88">
        <v>2.1333699251249092</v>
      </c>
      <c r="H66" s="88">
        <v>2.1315516689761984</v>
      </c>
      <c r="I66" s="88">
        <v>1.7055469099541956</v>
      </c>
      <c r="J66" s="88">
        <v>1.8171886940805926</v>
      </c>
      <c r="K66" s="41">
        <f t="shared" si="1"/>
        <v>-0.14533075495831885</v>
      </c>
    </row>
    <row r="67" spans="1:11" x14ac:dyDescent="0.4">
      <c r="A67" s="96">
        <v>38200</v>
      </c>
      <c r="B67" s="88">
        <v>34.610000999999997</v>
      </c>
      <c r="C67" s="88">
        <v>35.020000000000003</v>
      </c>
      <c r="D67" s="88">
        <v>32.349997999999999</v>
      </c>
      <c r="E67" s="88">
        <v>34.020000000000003</v>
      </c>
      <c r="F67" s="41">
        <f t="shared" si="0"/>
        <v>-2.4935483661091534E-2</v>
      </c>
      <c r="G67" s="88">
        <v>1.8018090366636665</v>
      </c>
      <c r="H67" s="88">
        <v>1.8431790122124911</v>
      </c>
      <c r="I67" s="88">
        <v>1.5716374093691177</v>
      </c>
      <c r="J67" s="88">
        <v>1.7276936246793666</v>
      </c>
      <c r="K67" s="41">
        <f t="shared" si="1"/>
        <v>-4.9249188976770546E-2</v>
      </c>
    </row>
    <row r="68" spans="1:11" x14ac:dyDescent="0.4">
      <c r="A68" s="96">
        <v>38231</v>
      </c>
      <c r="B68" s="88">
        <v>33.93</v>
      </c>
      <c r="C68" s="88">
        <v>35.849997999999999</v>
      </c>
      <c r="D68" s="88">
        <v>33.799999</v>
      </c>
      <c r="E68" s="88">
        <v>35.139999000000003</v>
      </c>
      <c r="F68" s="41">
        <f t="shared" ref="F68:F131" si="2">(E68-E67)/E67</f>
        <v>3.2921781305114632E-2</v>
      </c>
      <c r="G68" s="88">
        <v>1.7317023899398918</v>
      </c>
      <c r="H68" s="88">
        <v>1.9315835788307025</v>
      </c>
      <c r="I68" s="88">
        <v>1.7156836644471827</v>
      </c>
      <c r="J68" s="88">
        <v>1.8433236778507536</v>
      </c>
      <c r="K68" s="41">
        <f t="shared" si="1"/>
        <v>6.6927406294531033E-2</v>
      </c>
    </row>
    <row r="69" spans="1:11" x14ac:dyDescent="0.4">
      <c r="A69" s="96">
        <v>38261</v>
      </c>
      <c r="B69" s="88">
        <v>35.450001</v>
      </c>
      <c r="C69" s="88">
        <v>37.240001999999997</v>
      </c>
      <c r="D69" s="88">
        <v>35.200001</v>
      </c>
      <c r="E69" s="88">
        <v>36.900002000000001</v>
      </c>
      <c r="F69" s="41">
        <f t="shared" si="2"/>
        <v>5.0085459592642489E-2</v>
      </c>
      <c r="G69" s="88">
        <v>1.8903318012276433</v>
      </c>
      <c r="H69" s="88">
        <v>2.0842731041565625</v>
      </c>
      <c r="I69" s="88">
        <v>1.8607549929692628</v>
      </c>
      <c r="J69" s="88">
        <v>2.0325951806431752</v>
      </c>
      <c r="K69" s="41">
        <f t="shared" ref="K69:K132" si="3">(J69-J68)/J68</f>
        <v>0.10267947244789105</v>
      </c>
    </row>
    <row r="70" spans="1:11" x14ac:dyDescent="0.4">
      <c r="A70" s="96">
        <v>38292</v>
      </c>
      <c r="B70" s="88">
        <v>36.979999999999997</v>
      </c>
      <c r="C70" s="88">
        <v>39.639999000000003</v>
      </c>
      <c r="D70" s="88">
        <v>36.799999</v>
      </c>
      <c r="E70" s="88">
        <v>39.119999</v>
      </c>
      <c r="F70" s="41">
        <f t="shared" si="2"/>
        <v>6.0162517064362202E-2</v>
      </c>
      <c r="G70" s="88">
        <v>2.0570239616015291</v>
      </c>
      <c r="H70" s="88">
        <v>2.3615791334225094</v>
      </c>
      <c r="I70" s="88">
        <v>2.0337588468092265</v>
      </c>
      <c r="J70" s="88">
        <v>2.2845243012269663</v>
      </c>
      <c r="K70" s="41">
        <f t="shared" si="3"/>
        <v>0.12394456258824393</v>
      </c>
    </row>
    <row r="71" spans="1:11" x14ac:dyDescent="0.4">
      <c r="A71" s="96">
        <v>38322</v>
      </c>
      <c r="B71" s="88">
        <v>39.270000000000003</v>
      </c>
      <c r="C71" s="88">
        <v>40.68</v>
      </c>
      <c r="D71" s="88">
        <v>39.090000000000003</v>
      </c>
      <c r="E71" s="88">
        <v>39.919998</v>
      </c>
      <c r="F71" s="41">
        <f t="shared" si="2"/>
        <v>2.0449872710886309E-2</v>
      </c>
      <c r="G71" s="88">
        <v>2.3196760554899627</v>
      </c>
      <c r="H71" s="88">
        <v>2.4871221860165669</v>
      </c>
      <c r="I71" s="88">
        <v>2.2947489628438205</v>
      </c>
      <c r="J71" s="88">
        <v>2.3789161454376049</v>
      </c>
      <c r="K71" s="41">
        <f t="shared" si="3"/>
        <v>4.1317942715664219E-2</v>
      </c>
    </row>
    <row r="72" spans="1:11" x14ac:dyDescent="0.4">
      <c r="A72" s="96">
        <v>38353</v>
      </c>
      <c r="B72" s="88">
        <v>40.090000000000003</v>
      </c>
      <c r="C72" s="88">
        <v>40.290000999999997</v>
      </c>
      <c r="D72" s="88">
        <v>36.459999000000003</v>
      </c>
      <c r="E72" s="88">
        <v>37.400002000000001</v>
      </c>
      <c r="F72" s="41">
        <f t="shared" si="2"/>
        <v>-6.3126155467242234E-2</v>
      </c>
      <c r="G72" s="88">
        <v>2.4175621606669035</v>
      </c>
      <c r="H72" s="88">
        <v>2.4396627174139938</v>
      </c>
      <c r="I72" s="88">
        <v>1.9963521240495667</v>
      </c>
      <c r="J72" s="88">
        <v>2.088052254871934</v>
      </c>
      <c r="K72" s="41">
        <f t="shared" si="3"/>
        <v>-0.12226739943040996</v>
      </c>
    </row>
    <row r="73" spans="1:11" x14ac:dyDescent="0.4">
      <c r="A73" s="96">
        <v>38384</v>
      </c>
      <c r="B73" s="88">
        <v>37.490001999999997</v>
      </c>
      <c r="C73" s="88">
        <v>38.479999999999997</v>
      </c>
      <c r="D73" s="88">
        <v>36.700001</v>
      </c>
      <c r="E73" s="88">
        <v>37.220001000000003</v>
      </c>
      <c r="F73" s="41">
        <f t="shared" si="2"/>
        <v>-4.8128607051945394E-3</v>
      </c>
      <c r="G73" s="88">
        <v>2.1141532456880845</v>
      </c>
      <c r="H73" s="88">
        <v>2.2253860423111096</v>
      </c>
      <c r="I73" s="88">
        <v>2.0227210474724178</v>
      </c>
      <c r="J73" s="88">
        <v>2.0680016124422287</v>
      </c>
      <c r="K73" s="41">
        <f t="shared" si="3"/>
        <v>-9.6025577822213531E-3</v>
      </c>
    </row>
    <row r="74" spans="1:11" x14ac:dyDescent="0.4">
      <c r="A74" s="96">
        <v>38412</v>
      </c>
      <c r="B74" s="88">
        <v>37.369999</v>
      </c>
      <c r="C74" s="88">
        <v>38.290000999999997</v>
      </c>
      <c r="D74" s="88">
        <v>35.939999</v>
      </c>
      <c r="E74" s="88">
        <v>36.57</v>
      </c>
      <c r="F74" s="41">
        <f t="shared" si="2"/>
        <v>-1.7463755575933573E-2</v>
      </c>
      <c r="G74" s="88">
        <v>2.1006403797263418</v>
      </c>
      <c r="H74" s="88">
        <v>2.203464147247161</v>
      </c>
      <c r="I74" s="88">
        <v>1.9398134343706233</v>
      </c>
      <c r="J74" s="88">
        <v>1.9964021678985724</v>
      </c>
      <c r="K74" s="41">
        <f t="shared" si="3"/>
        <v>-3.4622528393050994E-2</v>
      </c>
    </row>
    <row r="75" spans="1:11" x14ac:dyDescent="0.4">
      <c r="A75" s="96">
        <v>38443</v>
      </c>
      <c r="B75" s="88">
        <v>36.82</v>
      </c>
      <c r="C75" s="88">
        <v>37.07</v>
      </c>
      <c r="D75" s="88">
        <v>34.349997999999999</v>
      </c>
      <c r="E75" s="88">
        <v>34.979999999999997</v>
      </c>
      <c r="F75" s="41">
        <f t="shared" si="2"/>
        <v>-4.3478260869565313E-2</v>
      </c>
      <c r="G75" s="88">
        <v>2.0392623699363597</v>
      </c>
      <c r="H75" s="88">
        <v>2.0652869703722541</v>
      </c>
      <c r="I75" s="88">
        <v>1.7719737076907083</v>
      </c>
      <c r="J75" s="88">
        <v>1.8265758965272378</v>
      </c>
      <c r="K75" s="41">
        <f t="shared" si="3"/>
        <v>-8.506616257088867E-2</v>
      </c>
    </row>
    <row r="76" spans="1:11" x14ac:dyDescent="0.4">
      <c r="A76" s="96">
        <v>38473</v>
      </c>
      <c r="B76" s="88">
        <v>35.099997999999999</v>
      </c>
      <c r="C76" s="88">
        <v>38.270000000000003</v>
      </c>
      <c r="D76" s="88">
        <v>34.889999000000003</v>
      </c>
      <c r="E76" s="88">
        <v>38.080002</v>
      </c>
      <c r="F76" s="41">
        <f t="shared" si="2"/>
        <v>8.8622126929674208E-2</v>
      </c>
      <c r="G76" s="88">
        <v>1.8531890289362742</v>
      </c>
      <c r="H76" s="88">
        <v>2.2011627643919782</v>
      </c>
      <c r="I76" s="88">
        <v>1.8281244427407144</v>
      </c>
      <c r="J76" s="88">
        <v>2.1646716888503823</v>
      </c>
      <c r="K76" s="41">
        <f t="shared" si="3"/>
        <v>0.18509813524088775</v>
      </c>
    </row>
    <row r="77" spans="1:11" x14ac:dyDescent="0.4">
      <c r="A77" s="96">
        <v>38504</v>
      </c>
      <c r="B77" s="88">
        <v>38.029998999999997</v>
      </c>
      <c r="C77" s="88">
        <v>38.68</v>
      </c>
      <c r="D77" s="88">
        <v>36.700001</v>
      </c>
      <c r="E77" s="88">
        <v>36.779998999999997</v>
      </c>
      <c r="F77" s="41">
        <f t="shared" si="2"/>
        <v>-3.4138732450696922E-2</v>
      </c>
      <c r="G77" s="88">
        <v>2.1754953783865933</v>
      </c>
      <c r="H77" s="88">
        <v>2.2485790700665342</v>
      </c>
      <c r="I77" s="88">
        <v>2.0227210474724178</v>
      </c>
      <c r="J77" s="88">
        <v>2.0193962168211095</v>
      </c>
      <c r="K77" s="41">
        <f t="shared" si="3"/>
        <v>-6.7112011848053488E-2</v>
      </c>
    </row>
    <row r="78" spans="1:11" x14ac:dyDescent="0.4">
      <c r="A78" s="96">
        <v>38534</v>
      </c>
      <c r="B78" s="88">
        <v>36.860000999999997</v>
      </c>
      <c r="C78" s="88">
        <v>39.919998</v>
      </c>
      <c r="D78" s="88">
        <v>36.549999</v>
      </c>
      <c r="E78" s="88">
        <v>39.580002</v>
      </c>
      <c r="F78" s="41">
        <f t="shared" si="2"/>
        <v>7.6128414250364831E-2</v>
      </c>
      <c r="G78" s="88">
        <v>2.0436956585830517</v>
      </c>
      <c r="H78" s="88">
        <v>2.3950592122186904</v>
      </c>
      <c r="I78" s="88">
        <v>2.0062201137461533</v>
      </c>
      <c r="J78" s="88">
        <v>2.3385665626555179</v>
      </c>
      <c r="K78" s="41">
        <f t="shared" si="3"/>
        <v>0.1580523639570047</v>
      </c>
    </row>
    <row r="79" spans="1:11" x14ac:dyDescent="0.4">
      <c r="A79" s="96">
        <v>38565</v>
      </c>
      <c r="B79" s="88">
        <v>39.639999000000003</v>
      </c>
      <c r="C79" s="88">
        <v>40.139999000000003</v>
      </c>
      <c r="D79" s="88">
        <v>38.259998000000003</v>
      </c>
      <c r="E79" s="88">
        <v>38.979999999999997</v>
      </c>
      <c r="F79" s="41">
        <f t="shared" si="2"/>
        <v>-1.5159221063202662E-2</v>
      </c>
      <c r="G79" s="88">
        <v>2.3635936075929038</v>
      </c>
      <c r="H79" s="88">
        <v>2.4215305236487175</v>
      </c>
      <c r="I79" s="88">
        <v>2.1983342555636156</v>
      </c>
      <c r="J79" s="88">
        <v>2.2682022749009438</v>
      </c>
      <c r="K79" s="41">
        <f t="shared" si="3"/>
        <v>-3.0088640143162364E-2</v>
      </c>
    </row>
    <row r="80" spans="1:11" x14ac:dyDescent="0.4">
      <c r="A80" s="96">
        <v>38596</v>
      </c>
      <c r="B80" s="88">
        <v>39</v>
      </c>
      <c r="C80" s="88">
        <v>39.909999999999997</v>
      </c>
      <c r="D80" s="88">
        <v>38.240001999999997</v>
      </c>
      <c r="E80" s="88">
        <v>39.459999000000003</v>
      </c>
      <c r="F80" s="41">
        <f t="shared" si="2"/>
        <v>1.2313981528989394E-2</v>
      </c>
      <c r="G80" s="88">
        <v>2.2878879507727472</v>
      </c>
      <c r="H80" s="88">
        <v>2.3938596729111103</v>
      </c>
      <c r="I80" s="88">
        <v>2.196037004799726</v>
      </c>
      <c r="J80" s="88">
        <v>2.3244074136390149</v>
      </c>
      <c r="K80" s="41">
        <f t="shared" si="3"/>
        <v>2.4779597199075052E-2</v>
      </c>
    </row>
    <row r="81" spans="1:11" x14ac:dyDescent="0.4">
      <c r="A81" s="96">
        <v>38626</v>
      </c>
      <c r="B81" s="88">
        <v>39.540000999999997</v>
      </c>
      <c r="C81" s="88">
        <v>39.880001</v>
      </c>
      <c r="D81" s="88">
        <v>37.330002</v>
      </c>
      <c r="E81" s="88">
        <v>38.869999</v>
      </c>
      <c r="F81" s="41">
        <f t="shared" si="2"/>
        <v>-1.4951850353569532E-2</v>
      </c>
      <c r="G81" s="88">
        <v>2.3516835914954126</v>
      </c>
      <c r="H81" s="88">
        <v>2.390262258404745</v>
      </c>
      <c r="I81" s="88">
        <v>2.0927621295837509</v>
      </c>
      <c r="J81" s="88">
        <v>2.2554186694951932</v>
      </c>
      <c r="K81" s="41">
        <f t="shared" si="3"/>
        <v>-2.9680142878143398E-2</v>
      </c>
    </row>
    <row r="82" spans="1:11" x14ac:dyDescent="0.4">
      <c r="A82" s="96">
        <v>38657</v>
      </c>
      <c r="B82" s="88">
        <v>38.779998999999997</v>
      </c>
      <c r="C82" s="88">
        <v>42.02</v>
      </c>
      <c r="D82" s="88">
        <v>38.709999000000003</v>
      </c>
      <c r="E82" s="88">
        <v>41.240001999999997</v>
      </c>
      <c r="F82" s="41">
        <f t="shared" si="2"/>
        <v>6.0972551092681966E-2</v>
      </c>
      <c r="G82" s="88">
        <v>2.2621485681908728</v>
      </c>
      <c r="H82" s="88">
        <v>2.653672532685865</v>
      </c>
      <c r="I82" s="88">
        <v>2.2503504756713806</v>
      </c>
      <c r="J82" s="88">
        <v>2.5388407913151636</v>
      </c>
      <c r="K82" s="41">
        <f t="shared" si="3"/>
        <v>0.12566275417211378</v>
      </c>
    </row>
    <row r="83" spans="1:11" x14ac:dyDescent="0.4">
      <c r="A83" s="96">
        <v>38687</v>
      </c>
      <c r="B83" s="88">
        <v>41.509998000000003</v>
      </c>
      <c r="C83" s="88">
        <v>42.310001</v>
      </c>
      <c r="D83" s="88">
        <v>40.360000999999997</v>
      </c>
      <c r="E83" s="88">
        <v>40.409999999999997</v>
      </c>
      <c r="F83" s="41">
        <f t="shared" si="2"/>
        <v>-2.0126138694173693E-2</v>
      </c>
      <c r="G83" s="88">
        <v>2.5918565543230736</v>
      </c>
      <c r="H83" s="88">
        <v>2.6904275671254934</v>
      </c>
      <c r="I83" s="88">
        <v>2.4462800752013241</v>
      </c>
      <c r="J83" s="88">
        <v>2.4376750540927259</v>
      </c>
      <c r="K83" s="41">
        <f t="shared" si="3"/>
        <v>-3.9847215929610186E-2</v>
      </c>
    </row>
    <row r="84" spans="1:11" x14ac:dyDescent="0.4">
      <c r="A84" s="96">
        <v>38718</v>
      </c>
      <c r="B84" s="88">
        <v>40.650002000000001</v>
      </c>
      <c r="C84" s="88">
        <v>43.310001</v>
      </c>
      <c r="D84" s="88">
        <v>40.159999999999997</v>
      </c>
      <c r="E84" s="88">
        <v>42</v>
      </c>
      <c r="F84" s="41">
        <f t="shared" si="2"/>
        <v>3.9346696362286653E-2</v>
      </c>
      <c r="G84" s="88">
        <v>2.4855738983210847</v>
      </c>
      <c r="H84" s="88">
        <v>2.8191073936421769</v>
      </c>
      <c r="I84" s="88">
        <v>2.4220954266796282</v>
      </c>
      <c r="J84" s="88">
        <v>2.6332778916009252</v>
      </c>
      <c r="K84" s="41">
        <f t="shared" si="3"/>
        <v>8.0241555239199167E-2</v>
      </c>
    </row>
    <row r="85" spans="1:11" x14ac:dyDescent="0.4">
      <c r="A85" s="96">
        <v>38749</v>
      </c>
      <c r="B85" s="88">
        <v>41.740001999999997</v>
      </c>
      <c r="C85" s="88">
        <v>42.169998</v>
      </c>
      <c r="D85" s="88">
        <v>40.259998000000003</v>
      </c>
      <c r="E85" s="88">
        <v>41.099997999999999</v>
      </c>
      <c r="F85" s="41">
        <f t="shared" si="2"/>
        <v>-2.1428619047619064E-2</v>
      </c>
      <c r="G85" s="88">
        <v>2.6206587215841566</v>
      </c>
      <c r="H85" s="88">
        <v>2.672651876828525</v>
      </c>
      <c r="I85" s="88">
        <v>2.4341724307692965</v>
      </c>
      <c r="J85" s="88">
        <v>2.5216320376192316</v>
      </c>
      <c r="K85" s="41">
        <f t="shared" si="3"/>
        <v>-4.2398052380949992E-2</v>
      </c>
    </row>
    <row r="86" spans="1:11" x14ac:dyDescent="0.4">
      <c r="A86" s="96">
        <v>38777</v>
      </c>
      <c r="B86" s="88">
        <v>41.23</v>
      </c>
      <c r="C86" s="88">
        <v>42.299999</v>
      </c>
      <c r="D86" s="88">
        <v>40.189999</v>
      </c>
      <c r="E86" s="88">
        <v>41.93</v>
      </c>
      <c r="F86" s="41">
        <f t="shared" si="2"/>
        <v>2.0194696846457277E-2</v>
      </c>
      <c r="G86" s="88">
        <v>2.5570087056365263</v>
      </c>
      <c r="H86" s="88">
        <v>2.6891556940365859</v>
      </c>
      <c r="I86" s="88">
        <v>2.4257153260276945</v>
      </c>
      <c r="J86" s="88">
        <v>2.6245076132897323</v>
      </c>
      <c r="K86" s="41">
        <f t="shared" si="3"/>
        <v>4.0797219473634773E-2</v>
      </c>
    </row>
    <row r="87" spans="1:11" x14ac:dyDescent="0.4">
      <c r="A87" s="96">
        <v>38808</v>
      </c>
      <c r="B87" s="88">
        <v>42.150002000000001</v>
      </c>
      <c r="C87" s="88">
        <v>43.049999</v>
      </c>
      <c r="D87" s="88">
        <v>41.389999000000003</v>
      </c>
      <c r="E87" s="88">
        <v>41.849997999999999</v>
      </c>
      <c r="F87" s="41">
        <f t="shared" si="2"/>
        <v>-1.9079895063200656E-3</v>
      </c>
      <c r="G87" s="88">
        <v>2.672395526995182</v>
      </c>
      <c r="H87" s="88">
        <v>2.7853612185573575</v>
      </c>
      <c r="I87" s="88">
        <v>2.5727327394896342</v>
      </c>
      <c r="J87" s="88">
        <v>2.6145021016392929</v>
      </c>
      <c r="K87" s="41">
        <f t="shared" si="3"/>
        <v>-3.8123385886840002E-3</v>
      </c>
    </row>
    <row r="88" spans="1:11" x14ac:dyDescent="0.4">
      <c r="A88" s="96">
        <v>38838</v>
      </c>
      <c r="B88" s="88">
        <v>41.919998</v>
      </c>
      <c r="C88" s="88">
        <v>42.279998999999997</v>
      </c>
      <c r="D88" s="88">
        <v>38.229999999999997</v>
      </c>
      <c r="E88" s="88">
        <v>38.82</v>
      </c>
      <c r="F88" s="41">
        <f t="shared" si="2"/>
        <v>-7.2401389362073548E-2</v>
      </c>
      <c r="G88" s="88">
        <v>2.6433096627112258</v>
      </c>
      <c r="H88" s="88">
        <v>2.6866133583170839</v>
      </c>
      <c r="I88" s="88">
        <v>2.1948883704672193</v>
      </c>
      <c r="J88" s="88">
        <v>2.2496200508676973</v>
      </c>
      <c r="K88" s="41">
        <f t="shared" si="3"/>
        <v>-0.13956081754258851</v>
      </c>
    </row>
    <row r="89" spans="1:11" x14ac:dyDescent="0.4">
      <c r="A89" s="96">
        <v>38869</v>
      </c>
      <c r="B89" s="88">
        <v>38.93</v>
      </c>
      <c r="C89" s="88">
        <v>40</v>
      </c>
      <c r="D89" s="88">
        <v>37.159999999999997</v>
      </c>
      <c r="E89" s="88">
        <v>38.770000000000003</v>
      </c>
      <c r="F89" s="41">
        <f t="shared" si="2"/>
        <v>-1.2879958784131158E-3</v>
      </c>
      <c r="G89" s="88">
        <v>2.2796823902466055</v>
      </c>
      <c r="H89" s="88">
        <v>2.4046685075608152</v>
      </c>
      <c r="I89" s="88">
        <v>2.0737445230403222</v>
      </c>
      <c r="J89" s="88">
        <v>2.2438287801304719</v>
      </c>
      <c r="K89" s="41">
        <f t="shared" si="3"/>
        <v>-2.5743328234435255E-3</v>
      </c>
    </row>
    <row r="90" spans="1:11" x14ac:dyDescent="0.4">
      <c r="A90" s="96">
        <v>38899</v>
      </c>
      <c r="B90" s="88">
        <v>38.889999000000003</v>
      </c>
      <c r="C90" s="88">
        <v>39</v>
      </c>
      <c r="D90" s="88">
        <v>35.540000999999997</v>
      </c>
      <c r="E90" s="88">
        <v>37.099997999999999</v>
      </c>
      <c r="F90" s="41">
        <f t="shared" si="2"/>
        <v>-4.3074593758060449E-2</v>
      </c>
      <c r="G90" s="88">
        <v>2.2749999999999999</v>
      </c>
      <c r="H90" s="88">
        <v>2.2859379999999998</v>
      </c>
      <c r="I90" s="88">
        <v>1.8968750000000001</v>
      </c>
      <c r="J90" s="88">
        <v>2.0546880000000001</v>
      </c>
      <c r="K90" s="41">
        <f t="shared" si="3"/>
        <v>-8.4293766888699009E-2</v>
      </c>
    </row>
    <row r="91" spans="1:11" x14ac:dyDescent="0.4">
      <c r="A91" s="96">
        <v>38930</v>
      </c>
      <c r="B91" s="88">
        <v>36.770000000000003</v>
      </c>
      <c r="C91" s="88">
        <v>39.029998999999997</v>
      </c>
      <c r="D91" s="88">
        <v>36.259998000000003</v>
      </c>
      <c r="E91" s="88">
        <v>38.869999</v>
      </c>
      <c r="F91" s="41">
        <f t="shared" si="2"/>
        <v>4.7708924404793789E-2</v>
      </c>
      <c r="G91" s="88">
        <v>2.017188</v>
      </c>
      <c r="H91" s="88">
        <v>2.2593749999999999</v>
      </c>
      <c r="I91" s="88">
        <v>1.9624999999999999</v>
      </c>
      <c r="J91" s="88">
        <v>2.2406250000000001</v>
      </c>
      <c r="K91" s="41">
        <f t="shared" si="3"/>
        <v>9.049403121057796E-2</v>
      </c>
    </row>
    <row r="92" spans="1:11" x14ac:dyDescent="0.4">
      <c r="A92" s="96">
        <v>38961</v>
      </c>
      <c r="B92" s="88">
        <v>39.080002</v>
      </c>
      <c r="C92" s="88">
        <v>40.950001</v>
      </c>
      <c r="D92" s="88">
        <v>38.32</v>
      </c>
      <c r="E92" s="88">
        <v>40.650002000000001</v>
      </c>
      <c r="F92" s="41">
        <f t="shared" si="2"/>
        <v>4.5793749570201964E-2</v>
      </c>
      <c r="G92" s="88">
        <v>2.2718750000000001</v>
      </c>
      <c r="H92" s="88">
        <v>2.5509379999999999</v>
      </c>
      <c r="I92" s="88">
        <v>2.1687500000000002</v>
      </c>
      <c r="J92" s="88">
        <v>2.4343750000000002</v>
      </c>
      <c r="K92" s="41">
        <f t="shared" si="3"/>
        <v>8.6471408647140896E-2</v>
      </c>
    </row>
    <row r="93" spans="1:11" x14ac:dyDescent="0.4">
      <c r="A93" s="96">
        <v>38991</v>
      </c>
      <c r="B93" s="88">
        <v>40.599997999999999</v>
      </c>
      <c r="C93" s="88">
        <v>42.919998</v>
      </c>
      <c r="D93" s="88">
        <v>39.880001</v>
      </c>
      <c r="E93" s="88">
        <v>42.580002</v>
      </c>
      <c r="F93" s="41">
        <f t="shared" si="2"/>
        <v>4.7478472448783636E-2</v>
      </c>
      <c r="G93" s="88">
        <v>2.423438</v>
      </c>
      <c r="H93" s="88">
        <v>2.6971880000000001</v>
      </c>
      <c r="I93" s="88">
        <v>2.3387500000000001</v>
      </c>
      <c r="J93" s="88">
        <v>2.6531250000000002</v>
      </c>
      <c r="K93" s="41">
        <f t="shared" si="3"/>
        <v>8.9858793324775352E-2</v>
      </c>
    </row>
    <row r="94" spans="1:11" x14ac:dyDescent="0.4">
      <c r="A94" s="96">
        <v>39022</v>
      </c>
      <c r="B94" s="88">
        <v>42.73</v>
      </c>
      <c r="C94" s="88">
        <v>44.860000999999997</v>
      </c>
      <c r="D94" s="88">
        <v>41.610000999999997</v>
      </c>
      <c r="E94" s="88">
        <v>44.040000999999997</v>
      </c>
      <c r="F94" s="41">
        <f t="shared" si="2"/>
        <v>3.4288373213321975E-2</v>
      </c>
      <c r="G94" s="88">
        <v>2.671875</v>
      </c>
      <c r="H94" s="88">
        <v>2.9296880000000001</v>
      </c>
      <c r="I94" s="88">
        <v>2.5299999999999998</v>
      </c>
      <c r="J94" s="88">
        <v>2.8131249999999999</v>
      </c>
      <c r="K94" s="41">
        <f t="shared" si="3"/>
        <v>6.0306242638397997E-2</v>
      </c>
    </row>
    <row r="95" spans="1:11" x14ac:dyDescent="0.4">
      <c r="A95" s="96">
        <v>39052</v>
      </c>
      <c r="B95" s="88">
        <v>44</v>
      </c>
      <c r="C95" s="88">
        <v>44.759998000000003</v>
      </c>
      <c r="D95" s="88">
        <v>42.880001</v>
      </c>
      <c r="E95" s="88">
        <v>43.16</v>
      </c>
      <c r="F95" s="41">
        <f t="shared" si="2"/>
        <v>-1.9981856948640853E-2</v>
      </c>
      <c r="G95" s="88">
        <v>2.8196880000000002</v>
      </c>
      <c r="H95" s="88">
        <v>2.9081250000000001</v>
      </c>
      <c r="I95" s="88">
        <v>2.5031249999999998</v>
      </c>
      <c r="J95" s="88">
        <v>2.5325000000000002</v>
      </c>
      <c r="K95" s="41">
        <f t="shared" si="3"/>
        <v>-9.9755609864474445E-2</v>
      </c>
    </row>
    <row r="96" spans="1:11" x14ac:dyDescent="0.4">
      <c r="A96" s="96">
        <v>39083</v>
      </c>
      <c r="B96" s="88">
        <v>43.459999000000003</v>
      </c>
      <c r="C96" s="88">
        <v>45.400002000000001</v>
      </c>
      <c r="D96" s="88">
        <v>42.52</v>
      </c>
      <c r="E96" s="88">
        <v>44.07</v>
      </c>
      <c r="F96" s="41">
        <f t="shared" si="2"/>
        <v>2.1084337349397679E-2</v>
      </c>
      <c r="G96" s="88">
        <v>2.5862500000000002</v>
      </c>
      <c r="H96" s="88">
        <v>2.7943750000000001</v>
      </c>
      <c r="I96" s="88">
        <v>2.4624999999999999</v>
      </c>
      <c r="J96" s="88">
        <v>2.6078130000000002</v>
      </c>
      <c r="K96" s="41">
        <f t="shared" si="3"/>
        <v>2.9738598223099686E-2</v>
      </c>
    </row>
    <row r="97" spans="1:11" x14ac:dyDescent="0.4">
      <c r="A97" s="96">
        <v>39114</v>
      </c>
      <c r="B97" s="88">
        <v>44.27</v>
      </c>
      <c r="C97" s="88">
        <v>45.549999</v>
      </c>
      <c r="D97" s="88">
        <v>42.93</v>
      </c>
      <c r="E97" s="88">
        <v>43.330002</v>
      </c>
      <c r="F97" s="41">
        <f t="shared" si="2"/>
        <v>-1.6791422736555477E-2</v>
      </c>
      <c r="G97" s="88">
        <v>2.639688</v>
      </c>
      <c r="H97" s="88">
        <v>2.7853129999999999</v>
      </c>
      <c r="I97" s="88">
        <v>2.453125</v>
      </c>
      <c r="J97" s="88">
        <v>2.5153129999999999</v>
      </c>
      <c r="K97" s="41">
        <f t="shared" si="3"/>
        <v>-3.5470334721086308E-2</v>
      </c>
    </row>
    <row r="98" spans="1:11" x14ac:dyDescent="0.4">
      <c r="A98" s="96">
        <v>39142</v>
      </c>
      <c r="B98" s="88">
        <v>42.549999</v>
      </c>
      <c r="C98" s="88">
        <v>44.450001</v>
      </c>
      <c r="D98" s="88">
        <v>42.060001</v>
      </c>
      <c r="E98" s="88">
        <v>43.529998999999997</v>
      </c>
      <c r="F98" s="41">
        <f t="shared" si="2"/>
        <v>4.6156702231399897E-3</v>
      </c>
      <c r="G98" s="88">
        <v>2.439063</v>
      </c>
      <c r="H98" s="88">
        <v>2.6324999999999998</v>
      </c>
      <c r="I98" s="88">
        <v>2.3634379999999999</v>
      </c>
      <c r="J98" s="88">
        <v>2.5306250000000001</v>
      </c>
      <c r="K98" s="41">
        <f t="shared" si="3"/>
        <v>6.0875127668008769E-3</v>
      </c>
    </row>
    <row r="99" spans="1:11" x14ac:dyDescent="0.4">
      <c r="A99" s="96">
        <v>39173</v>
      </c>
      <c r="B99" s="88">
        <v>43.669998</v>
      </c>
      <c r="C99" s="88">
        <v>46.700001</v>
      </c>
      <c r="D99" s="88">
        <v>43.299999</v>
      </c>
      <c r="E99" s="88">
        <v>45.959999000000003</v>
      </c>
      <c r="F99" s="41">
        <f t="shared" si="2"/>
        <v>5.5823571234173634E-2</v>
      </c>
      <c r="G99" s="88">
        <v>2.5390630000000001</v>
      </c>
      <c r="H99" s="88">
        <v>2.8781249999999998</v>
      </c>
      <c r="I99" s="88">
        <v>2.4950000000000001</v>
      </c>
      <c r="J99" s="88">
        <v>2.7953130000000002</v>
      </c>
      <c r="K99" s="41">
        <f t="shared" si="3"/>
        <v>0.10459392442578415</v>
      </c>
    </row>
    <row r="100" spans="1:11" x14ac:dyDescent="0.4">
      <c r="A100" s="96">
        <v>39203</v>
      </c>
      <c r="B100" s="88">
        <v>45.970001000000003</v>
      </c>
      <c r="C100" s="88">
        <v>47.52</v>
      </c>
      <c r="D100" s="88">
        <v>45.66</v>
      </c>
      <c r="E100" s="88">
        <v>47.41</v>
      </c>
      <c r="F100" s="41">
        <f t="shared" si="2"/>
        <v>3.1549195638581128E-2</v>
      </c>
      <c r="G100" s="88">
        <v>2.796875</v>
      </c>
      <c r="H100" s="88">
        <v>2.9631249999999998</v>
      </c>
      <c r="I100" s="88">
        <v>2.7556250000000002</v>
      </c>
      <c r="J100" s="88">
        <v>2.9596879999999999</v>
      </c>
      <c r="K100" s="41">
        <f t="shared" si="3"/>
        <v>5.8803790487862974E-2</v>
      </c>
    </row>
    <row r="101" spans="1:11" x14ac:dyDescent="0.4">
      <c r="A101" s="96">
        <v>39234</v>
      </c>
      <c r="B101" s="88">
        <v>47.580002</v>
      </c>
      <c r="C101" s="88">
        <v>47.919998</v>
      </c>
      <c r="D101" s="88">
        <v>46.16</v>
      </c>
      <c r="E101" s="88">
        <v>47.599997999999999</v>
      </c>
      <c r="F101" s="41">
        <f t="shared" si="2"/>
        <v>4.0075511495465677E-3</v>
      </c>
      <c r="G101" s="88">
        <v>2.9709379999999999</v>
      </c>
      <c r="H101" s="88">
        <v>3.0065629999999999</v>
      </c>
      <c r="I101" s="88">
        <v>2.7921879999999999</v>
      </c>
      <c r="J101" s="88">
        <v>2.9728129999999999</v>
      </c>
      <c r="K101" s="41">
        <f t="shared" si="3"/>
        <v>4.4345890512783965E-3</v>
      </c>
    </row>
    <row r="102" spans="1:11" x14ac:dyDescent="0.4">
      <c r="A102" s="96">
        <v>39264</v>
      </c>
      <c r="B102" s="88">
        <v>47.709999000000003</v>
      </c>
      <c r="C102" s="88">
        <v>50.66</v>
      </c>
      <c r="D102" s="88">
        <v>47.43</v>
      </c>
      <c r="E102" s="88">
        <v>47.529998999999997</v>
      </c>
      <c r="F102" s="41">
        <f t="shared" si="2"/>
        <v>-1.4705672886793568E-3</v>
      </c>
      <c r="G102" s="88">
        <v>2.9734379999999998</v>
      </c>
      <c r="H102" s="88">
        <v>3.339375</v>
      </c>
      <c r="I102" s="88">
        <v>2.9224999999999999</v>
      </c>
      <c r="J102" s="88">
        <v>2.9375</v>
      </c>
      <c r="K102" s="41">
        <f t="shared" si="3"/>
        <v>-1.1878648270173714E-2</v>
      </c>
    </row>
    <row r="103" spans="1:11" x14ac:dyDescent="0.4">
      <c r="A103" s="96">
        <v>39295</v>
      </c>
      <c r="B103" s="88">
        <v>47.389999000000003</v>
      </c>
      <c r="C103" s="88">
        <v>49.060001</v>
      </c>
      <c r="D103" s="88">
        <v>44.389999000000003</v>
      </c>
      <c r="E103" s="88">
        <v>48.869999</v>
      </c>
      <c r="F103" s="41">
        <f t="shared" si="2"/>
        <v>2.8192720980280337E-2</v>
      </c>
      <c r="G103" s="88">
        <v>2.916563</v>
      </c>
      <c r="H103" s="88">
        <v>3.1124999999999998</v>
      </c>
      <c r="I103" s="88">
        <v>2.5431249999999999</v>
      </c>
      <c r="J103" s="88">
        <v>3.0603129999999998</v>
      </c>
      <c r="K103" s="41">
        <f t="shared" si="3"/>
        <v>4.1808680851063776E-2</v>
      </c>
    </row>
    <row r="104" spans="1:11" x14ac:dyDescent="0.4">
      <c r="A104" s="96">
        <v>39326</v>
      </c>
      <c r="B104" s="88">
        <v>48.93</v>
      </c>
      <c r="C104" s="88">
        <v>51.68</v>
      </c>
      <c r="D104" s="88">
        <v>47.810001</v>
      </c>
      <c r="E104" s="88">
        <v>51.41</v>
      </c>
      <c r="F104" s="41">
        <f t="shared" si="2"/>
        <v>5.1974648086241963E-2</v>
      </c>
      <c r="G104" s="88">
        <v>3.0775000000000001</v>
      </c>
      <c r="H104" s="88">
        <v>3.4068749999999999</v>
      </c>
      <c r="I104" s="88">
        <v>2.9271880000000001</v>
      </c>
      <c r="J104" s="88">
        <v>3.3781249999999998</v>
      </c>
      <c r="K104" s="41">
        <f t="shared" si="3"/>
        <v>0.1038495082038994</v>
      </c>
    </row>
    <row r="105" spans="1:11" x14ac:dyDescent="0.4">
      <c r="A105" s="96">
        <v>39356</v>
      </c>
      <c r="B105" s="88">
        <v>51.450001</v>
      </c>
      <c r="C105" s="88">
        <v>55.07</v>
      </c>
      <c r="D105" s="88">
        <v>51.34</v>
      </c>
      <c r="E105" s="88">
        <v>55.029998999999997</v>
      </c>
      <c r="F105" s="41">
        <f t="shared" si="2"/>
        <v>7.0414296829410625E-2</v>
      </c>
      <c r="G105" s="88">
        <v>3.3834379999999999</v>
      </c>
      <c r="H105" s="88">
        <v>3.8359380000000001</v>
      </c>
      <c r="I105" s="88">
        <v>3.36</v>
      </c>
      <c r="J105" s="88">
        <v>3.827188</v>
      </c>
      <c r="K105" s="41">
        <f t="shared" si="3"/>
        <v>0.13293261794634603</v>
      </c>
    </row>
    <row r="106" spans="1:11" x14ac:dyDescent="0.4">
      <c r="A106" s="96">
        <v>39387</v>
      </c>
      <c r="B106" s="88">
        <v>54.68</v>
      </c>
      <c r="C106" s="88">
        <v>54.77</v>
      </c>
      <c r="D106" s="88">
        <v>48.650002000000001</v>
      </c>
      <c r="E106" s="88">
        <v>51.310001</v>
      </c>
      <c r="F106" s="41">
        <f t="shared" si="2"/>
        <v>-6.7599456071223932E-2</v>
      </c>
      <c r="G106" s="88">
        <v>3.78125</v>
      </c>
      <c r="H106" s="88">
        <v>3.8031250000000001</v>
      </c>
      <c r="I106" s="88">
        <v>2.9750000000000001</v>
      </c>
      <c r="J106" s="88">
        <v>3.2956249999999998</v>
      </c>
      <c r="K106" s="41">
        <f t="shared" si="3"/>
        <v>-0.13889126951694045</v>
      </c>
    </row>
    <row r="107" spans="1:11" x14ac:dyDescent="0.4">
      <c r="A107" s="96">
        <v>39417</v>
      </c>
      <c r="B107" s="88">
        <v>51.09</v>
      </c>
      <c r="C107" s="88">
        <v>52.84</v>
      </c>
      <c r="D107" s="88">
        <v>49.18</v>
      </c>
      <c r="E107" s="88">
        <v>51.220001000000003</v>
      </c>
      <c r="F107" s="41">
        <f t="shared" si="2"/>
        <v>-1.7540440118096335E-3</v>
      </c>
      <c r="G107" s="88">
        <v>3.2581250000000002</v>
      </c>
      <c r="H107" s="88">
        <v>3.481563</v>
      </c>
      <c r="I107" s="88">
        <v>2.9718749999999998</v>
      </c>
      <c r="J107" s="88">
        <v>3.100625</v>
      </c>
      <c r="K107" s="41">
        <f t="shared" si="3"/>
        <v>-5.9169353309311543E-2</v>
      </c>
    </row>
    <row r="108" spans="1:11" x14ac:dyDescent="0.4">
      <c r="A108" s="96">
        <v>39448</v>
      </c>
      <c r="B108" s="88">
        <v>51.27</v>
      </c>
      <c r="C108" s="88">
        <v>51.470001000000003</v>
      </c>
      <c r="D108" s="88">
        <v>41.610000999999997</v>
      </c>
      <c r="E108" s="88">
        <v>45.130001</v>
      </c>
      <c r="F108" s="41">
        <f t="shared" si="2"/>
        <v>-0.11889886530849546</v>
      </c>
      <c r="G108" s="88">
        <v>3.1062500000000002</v>
      </c>
      <c r="H108" s="88">
        <v>3.125</v>
      </c>
      <c r="I108" s="88">
        <v>2.0165630000000001</v>
      </c>
      <c r="J108" s="88">
        <v>2.345313</v>
      </c>
      <c r="K108" s="41">
        <f t="shared" si="3"/>
        <v>-0.24359991937109454</v>
      </c>
    </row>
    <row r="109" spans="1:11" x14ac:dyDescent="0.4">
      <c r="A109" s="96">
        <v>39479</v>
      </c>
      <c r="B109" s="88">
        <v>45.5</v>
      </c>
      <c r="C109" s="88">
        <v>45.880001</v>
      </c>
      <c r="D109" s="88">
        <v>42.150002000000001</v>
      </c>
      <c r="E109" s="88">
        <v>42.950001</v>
      </c>
      <c r="F109" s="41">
        <f t="shared" si="2"/>
        <v>-4.8304895893975269E-2</v>
      </c>
      <c r="G109" s="88">
        <v>2.4065629999999998</v>
      </c>
      <c r="H109" s="88">
        <v>2.4496880000000001</v>
      </c>
      <c r="I109" s="88">
        <v>2.0665629999999999</v>
      </c>
      <c r="J109" s="88">
        <v>2.1481249999999998</v>
      </c>
      <c r="K109" s="41">
        <f t="shared" si="3"/>
        <v>-8.4077477078752447E-2</v>
      </c>
    </row>
    <row r="110" spans="1:11" x14ac:dyDescent="0.4">
      <c r="A110" s="96">
        <v>39508</v>
      </c>
      <c r="B110" s="88">
        <v>42.919998</v>
      </c>
      <c r="C110" s="88">
        <v>45.07</v>
      </c>
      <c r="D110" s="88">
        <v>41.049999</v>
      </c>
      <c r="E110" s="88">
        <v>43.720001000000003</v>
      </c>
      <c r="F110" s="41">
        <f t="shared" si="2"/>
        <v>1.7927822632646809E-2</v>
      </c>
      <c r="G110" s="88">
        <v>2.1303130000000001</v>
      </c>
      <c r="H110" s="88">
        <v>2.3265630000000002</v>
      </c>
      <c r="I110" s="88">
        <v>1.937813</v>
      </c>
      <c r="J110" s="88">
        <v>2.1859380000000002</v>
      </c>
      <c r="K110" s="41">
        <f t="shared" si="3"/>
        <v>1.7602793133546846E-2</v>
      </c>
    </row>
    <row r="111" spans="1:11" x14ac:dyDescent="0.4">
      <c r="A111" s="96">
        <v>39539</v>
      </c>
      <c r="B111" s="88">
        <v>44.419998</v>
      </c>
      <c r="C111" s="88">
        <v>48.060001</v>
      </c>
      <c r="D111" s="88">
        <v>43.68</v>
      </c>
      <c r="E111" s="88">
        <v>47.209999000000003</v>
      </c>
      <c r="F111" s="41">
        <f t="shared" si="2"/>
        <v>7.9826118942677965E-2</v>
      </c>
      <c r="G111" s="88">
        <v>2.2640630000000002</v>
      </c>
      <c r="H111" s="88">
        <v>2.6231249999999999</v>
      </c>
      <c r="I111" s="88">
        <v>2.1759379999999999</v>
      </c>
      <c r="J111" s="88">
        <v>2.5265629999999999</v>
      </c>
      <c r="K111" s="41">
        <f t="shared" si="3"/>
        <v>0.15582555406420479</v>
      </c>
    </row>
    <row r="112" spans="1:11" x14ac:dyDescent="0.4">
      <c r="A112" s="96">
        <v>39569</v>
      </c>
      <c r="B112" s="88">
        <v>47.23</v>
      </c>
      <c r="C112" s="88">
        <v>50.470001000000003</v>
      </c>
      <c r="D112" s="88">
        <v>47.220001000000003</v>
      </c>
      <c r="E112" s="88">
        <v>50.009998000000003</v>
      </c>
      <c r="F112" s="41">
        <f t="shared" si="2"/>
        <v>5.9309448407317264E-2</v>
      </c>
      <c r="G112" s="88">
        <v>2.5293749999999999</v>
      </c>
      <c r="H112" s="88">
        <v>2.880938</v>
      </c>
      <c r="I112" s="88">
        <v>2.5293749999999999</v>
      </c>
      <c r="J112" s="88">
        <v>2.828125</v>
      </c>
      <c r="K112" s="41">
        <f t="shared" si="3"/>
        <v>0.11935661212485107</v>
      </c>
    </row>
    <row r="113" spans="1:11" x14ac:dyDescent="0.4">
      <c r="A113" s="96">
        <v>39600</v>
      </c>
      <c r="B113" s="88">
        <v>49.919998</v>
      </c>
      <c r="C113" s="88">
        <v>50.610000999999997</v>
      </c>
      <c r="D113" s="88">
        <v>44.970001000000003</v>
      </c>
      <c r="E113" s="88">
        <v>45.169998</v>
      </c>
      <c r="F113" s="41">
        <f t="shared" si="2"/>
        <v>-9.6780647741677633E-2</v>
      </c>
      <c r="G113" s="88">
        <v>2.811563</v>
      </c>
      <c r="H113" s="88">
        <v>2.892188</v>
      </c>
      <c r="I113" s="88">
        <v>2.265625</v>
      </c>
      <c r="J113" s="88">
        <v>2.2921879999999999</v>
      </c>
      <c r="K113" s="41">
        <f t="shared" si="3"/>
        <v>-0.18950258563535916</v>
      </c>
    </row>
    <row r="114" spans="1:11" x14ac:dyDescent="0.4">
      <c r="A114" s="96">
        <v>39630</v>
      </c>
      <c r="B114" s="88">
        <v>44.810001</v>
      </c>
      <c r="C114" s="88">
        <v>46.150002000000001</v>
      </c>
      <c r="D114" s="88">
        <v>43.299999</v>
      </c>
      <c r="E114" s="88">
        <v>45.459999000000003</v>
      </c>
      <c r="F114" s="41">
        <f t="shared" si="2"/>
        <v>6.4202128147095279E-3</v>
      </c>
      <c r="G114" s="88">
        <v>2.2509380000000001</v>
      </c>
      <c r="H114" s="88">
        <v>2.38375</v>
      </c>
      <c r="I114" s="88">
        <v>2.0918749999999999</v>
      </c>
      <c r="J114" s="88">
        <v>2.3021880000000001</v>
      </c>
      <c r="K114" s="41">
        <f t="shared" si="3"/>
        <v>4.3626439018092022E-3</v>
      </c>
    </row>
    <row r="115" spans="1:11" x14ac:dyDescent="0.4">
      <c r="A115" s="96">
        <v>39661</v>
      </c>
      <c r="B115" s="88">
        <v>45.509998000000003</v>
      </c>
      <c r="C115" s="88">
        <v>48.57</v>
      </c>
      <c r="D115" s="88">
        <v>44.299999</v>
      </c>
      <c r="E115" s="88">
        <v>46.119999</v>
      </c>
      <c r="F115" s="41">
        <f t="shared" si="2"/>
        <v>1.4518258128426191E-2</v>
      </c>
      <c r="G115" s="88">
        <v>2.3031250000000001</v>
      </c>
      <c r="H115" s="88">
        <v>2.610938</v>
      </c>
      <c r="I115" s="88">
        <v>2.1803129999999999</v>
      </c>
      <c r="J115" s="88">
        <v>2.3462499999999999</v>
      </c>
      <c r="K115" s="41">
        <f t="shared" si="3"/>
        <v>1.9139184115285035E-2</v>
      </c>
    </row>
    <row r="116" spans="1:11" x14ac:dyDescent="0.4">
      <c r="A116" s="96">
        <v>39692</v>
      </c>
      <c r="B116" s="88">
        <v>46.869999</v>
      </c>
      <c r="C116" s="88">
        <v>47.080002</v>
      </c>
      <c r="D116" s="88">
        <v>37.18</v>
      </c>
      <c r="E116" s="88">
        <v>38.909999999999997</v>
      </c>
      <c r="F116" s="41">
        <f t="shared" si="2"/>
        <v>-0.15633129133415644</v>
      </c>
      <c r="G116" s="88">
        <v>2.4240629999999999</v>
      </c>
      <c r="H116" s="88">
        <v>2.4440629999999999</v>
      </c>
      <c r="I116" s="88">
        <v>1.4624999999999999</v>
      </c>
      <c r="J116" s="88">
        <v>1.6368750000000001</v>
      </c>
      <c r="K116" s="41">
        <f t="shared" si="3"/>
        <v>-0.30234416622269572</v>
      </c>
    </row>
    <row r="117" spans="1:11" x14ac:dyDescent="0.4">
      <c r="A117" s="96">
        <v>39722</v>
      </c>
      <c r="B117" s="88">
        <v>38.840000000000003</v>
      </c>
      <c r="C117" s="88">
        <v>38.970001000000003</v>
      </c>
      <c r="D117" s="88">
        <v>28.09</v>
      </c>
      <c r="E117" s="88">
        <v>32.889999000000003</v>
      </c>
      <c r="F117" s="41">
        <f t="shared" si="2"/>
        <v>-0.15471603700848097</v>
      </c>
      <c r="G117" s="88">
        <v>1.6125</v>
      </c>
      <c r="H117" s="88">
        <v>1.6271880000000001</v>
      </c>
      <c r="I117" s="88">
        <v>0.79812499999999997</v>
      </c>
      <c r="J117" s="88">
        <v>1.086875</v>
      </c>
      <c r="K117" s="41">
        <f t="shared" si="3"/>
        <v>-0.33600610920198548</v>
      </c>
    </row>
    <row r="118" spans="1:11" x14ac:dyDescent="0.4">
      <c r="A118" s="96">
        <v>39753</v>
      </c>
      <c r="B118" s="88">
        <v>32.810001</v>
      </c>
      <c r="C118" s="88">
        <v>34.009998000000003</v>
      </c>
      <c r="D118" s="88">
        <v>25.049999</v>
      </c>
      <c r="E118" s="88">
        <v>29.120000999999998</v>
      </c>
      <c r="F118" s="41">
        <f t="shared" si="2"/>
        <v>-0.11462444860518252</v>
      </c>
      <c r="G118" s="88">
        <v>1.0856250000000001</v>
      </c>
      <c r="H118" s="88">
        <v>1.165313</v>
      </c>
      <c r="I118" s="88">
        <v>0.61624999999999996</v>
      </c>
      <c r="J118" s="88">
        <v>0.82625000000000004</v>
      </c>
      <c r="K118" s="41">
        <f t="shared" si="3"/>
        <v>-0.23979298447383551</v>
      </c>
    </row>
    <row r="119" spans="1:11" x14ac:dyDescent="0.4">
      <c r="A119" s="96">
        <v>39783</v>
      </c>
      <c r="B119" s="88">
        <v>28.5</v>
      </c>
      <c r="C119" s="88">
        <v>30.83</v>
      </c>
      <c r="D119" s="88">
        <v>26.84</v>
      </c>
      <c r="E119" s="88">
        <v>29.74</v>
      </c>
      <c r="F119" s="41">
        <f t="shared" si="2"/>
        <v>2.1291173719396508E-2</v>
      </c>
      <c r="G119" s="88">
        <v>0.79156300000000002</v>
      </c>
      <c r="H119" s="88">
        <v>0.91156300000000001</v>
      </c>
      <c r="I119" s="88">
        <v>0.69718800000000003</v>
      </c>
      <c r="J119" s="88">
        <v>0.84031299999999998</v>
      </c>
      <c r="K119" s="41">
        <f t="shared" si="3"/>
        <v>1.7020272314674657E-2</v>
      </c>
    </row>
    <row r="120" spans="1:11" x14ac:dyDescent="0.4">
      <c r="A120" s="96">
        <v>39814</v>
      </c>
      <c r="B120" s="88">
        <v>29.75</v>
      </c>
      <c r="C120" s="88">
        <v>31.629999000000002</v>
      </c>
      <c r="D120" s="88">
        <v>27.959999</v>
      </c>
      <c r="E120" s="88">
        <v>29.059999000000001</v>
      </c>
      <c r="F120" s="41">
        <f t="shared" si="2"/>
        <v>-2.2864862138533868E-2</v>
      </c>
      <c r="G120" s="88">
        <v>0.84624999999999995</v>
      </c>
      <c r="H120" s="88">
        <v>0.95156300000000005</v>
      </c>
      <c r="I120" s="88">
        <v>0.73875000000000002</v>
      </c>
      <c r="J120" s="88">
        <v>0.79156300000000002</v>
      </c>
      <c r="K120" s="41">
        <f t="shared" si="3"/>
        <v>-5.801409712809389E-2</v>
      </c>
    </row>
    <row r="121" spans="1:11" x14ac:dyDescent="0.4">
      <c r="A121" s="96">
        <v>39845</v>
      </c>
      <c r="B121" s="88">
        <v>28.780000999999999</v>
      </c>
      <c r="C121" s="88">
        <v>31.68</v>
      </c>
      <c r="D121" s="88">
        <v>27.389999</v>
      </c>
      <c r="E121" s="88">
        <v>27.530000999999999</v>
      </c>
      <c r="F121" s="41">
        <f t="shared" si="2"/>
        <v>-5.2649623284570748E-2</v>
      </c>
      <c r="G121" s="88">
        <v>0.77687499999999998</v>
      </c>
      <c r="H121" s="88">
        <v>0.94093800000000005</v>
      </c>
      <c r="I121" s="88">
        <v>0.69750000000000001</v>
      </c>
      <c r="J121" s="88">
        <v>0.70374999999999999</v>
      </c>
      <c r="K121" s="41">
        <f t="shared" si="3"/>
        <v>-0.11093621101542142</v>
      </c>
    </row>
    <row r="122" spans="1:11" x14ac:dyDescent="0.4">
      <c r="A122" s="96">
        <v>39873</v>
      </c>
      <c r="B122" s="88">
        <v>27.120000999999998</v>
      </c>
      <c r="C122" s="88">
        <v>31.459999</v>
      </c>
      <c r="D122" s="88">
        <v>25.629999000000002</v>
      </c>
      <c r="E122" s="88">
        <v>30.32</v>
      </c>
      <c r="F122" s="41">
        <f t="shared" si="2"/>
        <v>0.10134394837108802</v>
      </c>
      <c r="G122" s="88">
        <v>0.68343799999999999</v>
      </c>
      <c r="H122" s="88">
        <v>0.90625</v>
      </c>
      <c r="I122" s="88">
        <v>0.60812500000000003</v>
      </c>
      <c r="J122" s="88">
        <v>0.84406300000000001</v>
      </c>
      <c r="K122" s="41">
        <f t="shared" si="3"/>
        <v>0.19937904085257552</v>
      </c>
    </row>
    <row r="123" spans="1:11" x14ac:dyDescent="0.4">
      <c r="A123" s="96">
        <v>39904</v>
      </c>
      <c r="B123" s="88">
        <v>29.940000999999999</v>
      </c>
      <c r="C123" s="88">
        <v>34.900002000000001</v>
      </c>
      <c r="D123" s="88">
        <v>29.790001</v>
      </c>
      <c r="E123" s="88">
        <v>34.279998999999997</v>
      </c>
      <c r="F123" s="41">
        <f t="shared" si="2"/>
        <v>0.13060682717678088</v>
      </c>
      <c r="G123" s="88">
        <v>0.82031299999999996</v>
      </c>
      <c r="H123" s="88">
        <v>1.105313</v>
      </c>
      <c r="I123" s="88">
        <v>0.8125</v>
      </c>
      <c r="J123" s="88">
        <v>1.0662499999999999</v>
      </c>
      <c r="K123" s="41">
        <f t="shared" si="3"/>
        <v>0.26323509027169761</v>
      </c>
    </row>
    <row r="124" spans="1:11" x14ac:dyDescent="0.4">
      <c r="A124" s="96">
        <v>39934</v>
      </c>
      <c r="B124" s="88">
        <v>34.270000000000003</v>
      </c>
      <c r="C124" s="88">
        <v>35.5</v>
      </c>
      <c r="D124" s="88">
        <v>32.959999000000003</v>
      </c>
      <c r="E124" s="88">
        <v>35.380001</v>
      </c>
      <c r="F124" s="41">
        <f t="shared" si="2"/>
        <v>3.2088740726042717E-2</v>
      </c>
      <c r="G124" s="88">
        <v>1.0674999999999999</v>
      </c>
      <c r="H124" s="88">
        <v>1.1328130000000001</v>
      </c>
      <c r="I124" s="88">
        <v>0.98499999999999999</v>
      </c>
      <c r="J124" s="88">
        <v>1.128125</v>
      </c>
      <c r="K124" s="41">
        <f t="shared" si="3"/>
        <v>5.8030480656506567E-2</v>
      </c>
    </row>
    <row r="125" spans="1:11" x14ac:dyDescent="0.4">
      <c r="A125" s="96">
        <v>39965</v>
      </c>
      <c r="B125" s="88">
        <v>35.759998000000003</v>
      </c>
      <c r="C125" s="88">
        <v>37.229999999999997</v>
      </c>
      <c r="D125" s="88">
        <v>34.770000000000003</v>
      </c>
      <c r="E125" s="88">
        <v>36.380001</v>
      </c>
      <c r="F125" s="41">
        <f t="shared" si="2"/>
        <v>2.8264555447581812E-2</v>
      </c>
      <c r="G125" s="88">
        <v>1.1525000000000001</v>
      </c>
      <c r="H125" s="88">
        <v>1.2493749999999999</v>
      </c>
      <c r="I125" s="88">
        <v>1.0900000000000001</v>
      </c>
      <c r="J125" s="88">
        <v>1.190625</v>
      </c>
      <c r="K125" s="41">
        <f t="shared" si="3"/>
        <v>5.5401662049861494E-2</v>
      </c>
    </row>
    <row r="126" spans="1:11" x14ac:dyDescent="0.4">
      <c r="A126" s="96">
        <v>39995</v>
      </c>
      <c r="B126" s="88">
        <v>36.560001</v>
      </c>
      <c r="C126" s="88">
        <v>40.18</v>
      </c>
      <c r="D126" s="88">
        <v>34.299999</v>
      </c>
      <c r="E126" s="88">
        <v>39.450001</v>
      </c>
      <c r="F126" s="41">
        <f t="shared" si="2"/>
        <v>8.4387023518773419E-2</v>
      </c>
      <c r="G126" s="88">
        <v>1.201875</v>
      </c>
      <c r="H126" s="88">
        <v>1.4468749999999999</v>
      </c>
      <c r="I126" s="88">
        <v>1.0587500000000001</v>
      </c>
      <c r="J126" s="88">
        <v>1.3931249999999999</v>
      </c>
      <c r="K126" s="41">
        <f t="shared" si="3"/>
        <v>0.17007874015748023</v>
      </c>
    </row>
    <row r="127" spans="1:11" x14ac:dyDescent="0.4">
      <c r="A127" s="96">
        <v>40026</v>
      </c>
      <c r="B127" s="88">
        <v>39.869999</v>
      </c>
      <c r="C127" s="88">
        <v>41.080002</v>
      </c>
      <c r="D127" s="88">
        <v>38.459999000000003</v>
      </c>
      <c r="E127" s="88">
        <v>40.029998999999997</v>
      </c>
      <c r="F127" s="41">
        <f t="shared" si="2"/>
        <v>1.4702103556347089E-2</v>
      </c>
      <c r="G127" s="88">
        <v>1.4259379999999999</v>
      </c>
      <c r="H127" s="88">
        <v>1.5075000000000001</v>
      </c>
      <c r="I127" s="88">
        <v>1.322813</v>
      </c>
      <c r="J127" s="88">
        <v>1.4303129999999999</v>
      </c>
      <c r="K127" s="41">
        <f t="shared" si="3"/>
        <v>2.6693943472409151E-2</v>
      </c>
    </row>
    <row r="128" spans="1:11" x14ac:dyDescent="0.4">
      <c r="A128" s="96">
        <v>40057</v>
      </c>
      <c r="B128" s="88">
        <v>39.889999000000003</v>
      </c>
      <c r="C128" s="88">
        <v>43.169998</v>
      </c>
      <c r="D128" s="88">
        <v>39.020000000000003</v>
      </c>
      <c r="E128" s="88">
        <v>42.25</v>
      </c>
      <c r="F128" s="41">
        <f t="shared" si="2"/>
        <v>5.5458432562039375E-2</v>
      </c>
      <c r="G128" s="88">
        <v>1.4203129999999999</v>
      </c>
      <c r="H128" s="88">
        <v>1.6646879999999999</v>
      </c>
      <c r="I128" s="88">
        <v>1.36</v>
      </c>
      <c r="J128" s="88">
        <v>1.592813</v>
      </c>
      <c r="K128" s="41">
        <f t="shared" si="3"/>
        <v>0.11361149622495223</v>
      </c>
    </row>
    <row r="129" spans="1:11" x14ac:dyDescent="0.4">
      <c r="A129" s="96">
        <v>40087</v>
      </c>
      <c r="B129" s="88">
        <v>42.099997999999999</v>
      </c>
      <c r="C129" s="88">
        <v>43.82</v>
      </c>
      <c r="D129" s="88">
        <v>40.720001000000003</v>
      </c>
      <c r="E129" s="88">
        <v>40.959999000000003</v>
      </c>
      <c r="F129" s="41">
        <f t="shared" si="2"/>
        <v>-3.05325680473372E-2</v>
      </c>
      <c r="G129" s="88">
        <v>1.5821879999999999</v>
      </c>
      <c r="H129" s="88">
        <v>1.70875</v>
      </c>
      <c r="I129" s="88">
        <v>1.4784379999999999</v>
      </c>
      <c r="J129" s="88">
        <v>1.4906250000000001</v>
      </c>
      <c r="K129" s="41">
        <f t="shared" si="3"/>
        <v>-6.4155679291919357E-2</v>
      </c>
    </row>
    <row r="130" spans="1:11" x14ac:dyDescent="0.4">
      <c r="A130" s="96">
        <v>40118</v>
      </c>
      <c r="B130" s="88">
        <v>41</v>
      </c>
      <c r="C130" s="88">
        <v>44.650002000000001</v>
      </c>
      <c r="D130" s="88">
        <v>40.639999000000003</v>
      </c>
      <c r="E130" s="88">
        <v>43.560001</v>
      </c>
      <c r="F130" s="41">
        <f t="shared" si="2"/>
        <v>6.3476612877846894E-2</v>
      </c>
      <c r="G130" s="88">
        <v>1.4940629999999999</v>
      </c>
      <c r="H130" s="88">
        <v>1.76875</v>
      </c>
      <c r="I130" s="88">
        <v>1.467813</v>
      </c>
      <c r="J130" s="88">
        <v>1.67875</v>
      </c>
      <c r="K130" s="41">
        <f t="shared" si="3"/>
        <v>0.12620545073375253</v>
      </c>
    </row>
    <row r="131" spans="1:11" x14ac:dyDescent="0.4">
      <c r="A131" s="96">
        <v>40148</v>
      </c>
      <c r="B131" s="88">
        <v>43.889999000000003</v>
      </c>
      <c r="C131" s="88">
        <v>46.299999</v>
      </c>
      <c r="D131" s="88">
        <v>43.32</v>
      </c>
      <c r="E131" s="88">
        <v>45.75</v>
      </c>
      <c r="F131" s="41">
        <f t="shared" si="2"/>
        <v>5.0275457982657076E-2</v>
      </c>
      <c r="G131" s="88">
        <v>1.7053130000000001</v>
      </c>
      <c r="H131" s="88">
        <v>1.900625</v>
      </c>
      <c r="I131" s="88">
        <v>1.657813</v>
      </c>
      <c r="J131" s="88">
        <v>1.8587499999999999</v>
      </c>
      <c r="K131" s="41">
        <f t="shared" si="3"/>
        <v>0.10722263588979893</v>
      </c>
    </row>
    <row r="132" spans="1:11" x14ac:dyDescent="0.4">
      <c r="A132" s="96">
        <v>40179</v>
      </c>
      <c r="B132" s="88">
        <v>46.330002</v>
      </c>
      <c r="C132" s="88">
        <v>46.639999000000003</v>
      </c>
      <c r="D132" s="88">
        <v>42.630001</v>
      </c>
      <c r="E132" s="88">
        <v>42.790000999999997</v>
      </c>
      <c r="F132" s="41">
        <f t="shared" ref="F132:F195" si="4">(E132-E131)/E131</f>
        <v>-6.4699431693989146E-2</v>
      </c>
      <c r="G132" s="88">
        <v>1.900938</v>
      </c>
      <c r="H132" s="88">
        <v>1.9281250000000001</v>
      </c>
      <c r="I132" s="88">
        <v>1.6043750000000001</v>
      </c>
      <c r="J132" s="88">
        <v>1.6168750000000001</v>
      </c>
      <c r="K132" s="41">
        <f t="shared" si="3"/>
        <v>-0.13012777404169462</v>
      </c>
    </row>
    <row r="133" spans="1:11" x14ac:dyDescent="0.4">
      <c r="A133" s="96">
        <v>40210</v>
      </c>
      <c r="B133" s="88">
        <v>42.900002000000001</v>
      </c>
      <c r="C133" s="88">
        <v>45.049999</v>
      </c>
      <c r="D133" s="88">
        <v>42.119999</v>
      </c>
      <c r="E133" s="88">
        <v>44.759998000000003</v>
      </c>
      <c r="F133" s="41">
        <f t="shared" si="4"/>
        <v>4.6038722925012474E-2</v>
      </c>
      <c r="G133" s="88">
        <v>1.6256250000000001</v>
      </c>
      <c r="H133" s="88">
        <v>1.7875000000000001</v>
      </c>
      <c r="I133" s="88">
        <v>1.564063</v>
      </c>
      <c r="J133" s="88">
        <v>1.7649999999999999</v>
      </c>
      <c r="K133" s="41">
        <f t="shared" ref="K133:K196" si="5">(J133-J132)/J132</f>
        <v>9.1611905682257341E-2</v>
      </c>
    </row>
    <row r="134" spans="1:11" x14ac:dyDescent="0.4">
      <c r="A134" s="96">
        <v>40238</v>
      </c>
      <c r="B134" s="88">
        <v>44.959999000000003</v>
      </c>
      <c r="C134" s="88">
        <v>48.599997999999999</v>
      </c>
      <c r="D134" s="88">
        <v>44.950001</v>
      </c>
      <c r="E134" s="88">
        <v>48.16</v>
      </c>
      <c r="F134" s="41">
        <f t="shared" si="4"/>
        <v>7.5960727254724039E-2</v>
      </c>
      <c r="G134" s="88">
        <v>1.778125</v>
      </c>
      <c r="H134" s="88">
        <v>2.0803129999999999</v>
      </c>
      <c r="I134" s="88">
        <v>1.778125</v>
      </c>
      <c r="J134" s="88">
        <v>2.0449999999999999</v>
      </c>
      <c r="K134" s="41">
        <f t="shared" si="5"/>
        <v>0.15864022662889521</v>
      </c>
    </row>
    <row r="135" spans="1:11" x14ac:dyDescent="0.4">
      <c r="A135" s="96">
        <v>40269</v>
      </c>
      <c r="B135" s="88">
        <v>48.360000999999997</v>
      </c>
      <c r="C135" s="88">
        <v>50.650002000000001</v>
      </c>
      <c r="D135" s="88">
        <v>47.790000999999997</v>
      </c>
      <c r="E135" s="88">
        <v>49.240001999999997</v>
      </c>
      <c r="F135" s="41">
        <f t="shared" si="4"/>
        <v>2.2425290697674429E-2</v>
      </c>
      <c r="G135" s="88">
        <v>2.0584380000000002</v>
      </c>
      <c r="H135" s="88">
        <v>2.255938</v>
      </c>
      <c r="I135" s="88">
        <v>2.0109379999999999</v>
      </c>
      <c r="J135" s="88">
        <v>2.1312500000000001</v>
      </c>
      <c r="K135" s="41">
        <f t="shared" si="5"/>
        <v>4.2176039119804477E-2</v>
      </c>
    </row>
    <row r="136" spans="1:11" x14ac:dyDescent="0.4">
      <c r="A136" s="96">
        <v>40299</v>
      </c>
      <c r="B136" s="88">
        <v>49.450001</v>
      </c>
      <c r="C136" s="88">
        <v>50.169998</v>
      </c>
      <c r="D136" s="88">
        <v>42.639999000000003</v>
      </c>
      <c r="E136" s="88">
        <v>45.599997999999999</v>
      </c>
      <c r="F136" s="41">
        <f t="shared" si="4"/>
        <v>-7.3923717549808338E-2</v>
      </c>
      <c r="G136" s="88">
        <v>2.1456249999999999</v>
      </c>
      <c r="H136" s="88">
        <v>2.209063</v>
      </c>
      <c r="I136" s="88">
        <v>1.504375</v>
      </c>
      <c r="J136" s="88">
        <v>1.805938</v>
      </c>
      <c r="K136" s="41">
        <f t="shared" si="5"/>
        <v>-0.15263906158357773</v>
      </c>
    </row>
    <row r="137" spans="1:11" x14ac:dyDescent="0.4">
      <c r="A137" s="96">
        <v>40330</v>
      </c>
      <c r="B137" s="88">
        <v>45.43</v>
      </c>
      <c r="C137" s="88">
        <v>47.68</v>
      </c>
      <c r="D137" s="88">
        <v>42.639999000000003</v>
      </c>
      <c r="E137" s="88">
        <v>42.709999000000003</v>
      </c>
      <c r="F137" s="41">
        <f t="shared" si="4"/>
        <v>-6.3377173832332101E-2</v>
      </c>
      <c r="G137" s="88">
        <v>1.7953129999999999</v>
      </c>
      <c r="H137" s="88">
        <v>1.973125</v>
      </c>
      <c r="I137" s="88">
        <v>1.5734379999999999</v>
      </c>
      <c r="J137" s="88">
        <v>1.58125</v>
      </c>
      <c r="K137" s="41">
        <f t="shared" si="5"/>
        <v>-0.1244162313434902</v>
      </c>
    </row>
    <row r="138" spans="1:11" x14ac:dyDescent="0.4">
      <c r="A138" s="96">
        <v>40360</v>
      </c>
      <c r="B138" s="88">
        <v>42.84</v>
      </c>
      <c r="C138" s="88">
        <v>46.720001000000003</v>
      </c>
      <c r="D138" s="88">
        <v>41.77</v>
      </c>
      <c r="E138" s="88">
        <v>45.810001</v>
      </c>
      <c r="F138" s="41">
        <f t="shared" si="4"/>
        <v>7.2582581891420694E-2</v>
      </c>
      <c r="G138" s="88">
        <v>1.5887500000000001</v>
      </c>
      <c r="H138" s="88">
        <v>1.8825000000000001</v>
      </c>
      <c r="I138" s="88">
        <v>1.5106250000000001</v>
      </c>
      <c r="J138" s="88">
        <v>1.8106249999999999</v>
      </c>
      <c r="K138" s="41">
        <f t="shared" si="5"/>
        <v>0.14505928853754932</v>
      </c>
    </row>
    <row r="139" spans="1:11" x14ac:dyDescent="0.4">
      <c r="A139" s="96">
        <v>40391</v>
      </c>
      <c r="B139" s="88">
        <v>46.389999000000003</v>
      </c>
      <c r="C139" s="88">
        <v>47.189999</v>
      </c>
      <c r="D139" s="88">
        <v>42.970001000000003</v>
      </c>
      <c r="E139" s="88">
        <v>43.459999000000003</v>
      </c>
      <c r="F139" s="41">
        <f t="shared" si="4"/>
        <v>-5.1298885586140819E-2</v>
      </c>
      <c r="G139" s="88">
        <v>1.855</v>
      </c>
      <c r="H139" s="88">
        <v>1.91875</v>
      </c>
      <c r="I139" s="88">
        <v>1.5865629999999999</v>
      </c>
      <c r="J139" s="88">
        <v>1.6256250000000001</v>
      </c>
      <c r="K139" s="41">
        <f t="shared" si="5"/>
        <v>-0.10217466344494296</v>
      </c>
    </row>
    <row r="140" spans="1:11" x14ac:dyDescent="0.4">
      <c r="A140" s="96">
        <v>40422</v>
      </c>
      <c r="B140" s="88">
        <v>44.099997999999999</v>
      </c>
      <c r="C140" s="88">
        <v>49.84</v>
      </c>
      <c r="D140" s="88">
        <v>44.07</v>
      </c>
      <c r="E140" s="88">
        <v>49.07</v>
      </c>
      <c r="F140" s="41">
        <f t="shared" si="4"/>
        <v>0.12908424135030461</v>
      </c>
      <c r="G140" s="88">
        <v>1.67</v>
      </c>
      <c r="H140" s="88">
        <v>2.1375000000000002</v>
      </c>
      <c r="I140" s="88">
        <v>1.6684380000000001</v>
      </c>
      <c r="J140" s="88">
        <v>2.0715629999999998</v>
      </c>
      <c r="K140" s="41">
        <f t="shared" si="5"/>
        <v>0.27431787773933086</v>
      </c>
    </row>
    <row r="141" spans="1:11" x14ac:dyDescent="0.4">
      <c r="A141" s="96">
        <v>40452</v>
      </c>
      <c r="B141" s="88">
        <v>49.48</v>
      </c>
      <c r="C141" s="88">
        <v>52.490001999999997</v>
      </c>
      <c r="D141" s="88">
        <v>48.200001</v>
      </c>
      <c r="E141" s="88">
        <v>52.18</v>
      </c>
      <c r="F141" s="41">
        <f t="shared" si="4"/>
        <v>6.3378846545750961E-2</v>
      </c>
      <c r="G141" s="88">
        <v>2.1056249999999999</v>
      </c>
      <c r="H141" s="88">
        <v>2.3643749999999999</v>
      </c>
      <c r="I141" s="88">
        <v>1.99875</v>
      </c>
      <c r="J141" s="88">
        <v>2.3396880000000002</v>
      </c>
      <c r="K141" s="41">
        <f t="shared" si="5"/>
        <v>0.12943125553024476</v>
      </c>
    </row>
    <row r="142" spans="1:11" x14ac:dyDescent="0.4">
      <c r="A142" s="96">
        <v>40483</v>
      </c>
      <c r="B142" s="88">
        <v>52.369999</v>
      </c>
      <c r="C142" s="88">
        <v>54.040000999999997</v>
      </c>
      <c r="D142" s="88">
        <v>50.849997999999999</v>
      </c>
      <c r="E142" s="88">
        <v>52.09</v>
      </c>
      <c r="F142" s="41">
        <f t="shared" si="4"/>
        <v>-1.724798773476357E-3</v>
      </c>
      <c r="G142" s="88">
        <v>2.355</v>
      </c>
      <c r="H142" s="88">
        <v>2.5053130000000001</v>
      </c>
      <c r="I142" s="88">
        <v>2.249063</v>
      </c>
      <c r="J142" s="88">
        <v>2.3199999999999998</v>
      </c>
      <c r="K142" s="41">
        <f t="shared" si="5"/>
        <v>-8.4147971866335904E-3</v>
      </c>
    </row>
    <row r="143" spans="1:11" x14ac:dyDescent="0.4">
      <c r="A143" s="96">
        <v>40513</v>
      </c>
      <c r="B143" s="88">
        <v>52.860000999999997</v>
      </c>
      <c r="C143" s="88">
        <v>54.959999000000003</v>
      </c>
      <c r="D143" s="88">
        <v>52.84</v>
      </c>
      <c r="E143" s="88">
        <v>54.459999000000003</v>
      </c>
      <c r="F143" s="41">
        <f t="shared" si="4"/>
        <v>4.5498157035899399E-2</v>
      </c>
      <c r="G143" s="88">
        <v>2.3915630000000001</v>
      </c>
      <c r="H143" s="88">
        <v>2.5915629999999998</v>
      </c>
      <c r="I143" s="88">
        <v>2.3884379999999998</v>
      </c>
      <c r="J143" s="88">
        <v>2.5446879999999998</v>
      </c>
      <c r="K143" s="41">
        <f t="shared" si="5"/>
        <v>9.6848275862068969E-2</v>
      </c>
    </row>
    <row r="144" spans="1:11" x14ac:dyDescent="0.4">
      <c r="A144" s="96">
        <v>40544</v>
      </c>
      <c r="B144" s="88">
        <v>54.970001000000003</v>
      </c>
      <c r="C144" s="88">
        <v>57.349997999999999</v>
      </c>
      <c r="D144" s="88">
        <v>54.919998</v>
      </c>
      <c r="E144" s="88">
        <v>56</v>
      </c>
      <c r="F144" s="41">
        <f t="shared" si="4"/>
        <v>2.8277653842777275E-2</v>
      </c>
      <c r="G144" s="88">
        <v>2.5912500000000001</v>
      </c>
      <c r="H144" s="88">
        <v>2.8156249999999998</v>
      </c>
      <c r="I144" s="88">
        <v>2.5865629999999999</v>
      </c>
      <c r="J144" s="88">
        <v>2.6843750000000002</v>
      </c>
      <c r="K144" s="41">
        <f t="shared" si="5"/>
        <v>5.4893566519746369E-2</v>
      </c>
    </row>
    <row r="145" spans="1:11" x14ac:dyDescent="0.4">
      <c r="A145" s="96">
        <v>40575</v>
      </c>
      <c r="B145" s="88">
        <v>56.419998</v>
      </c>
      <c r="C145" s="88">
        <v>59.040000999999997</v>
      </c>
      <c r="D145" s="88">
        <v>56.130001</v>
      </c>
      <c r="E145" s="88">
        <v>57.77</v>
      </c>
      <c r="F145" s="41">
        <f t="shared" si="4"/>
        <v>3.160714285714291E-2</v>
      </c>
      <c r="G145" s="88">
        <v>2.7221880000000001</v>
      </c>
      <c r="H145" s="88">
        <v>2.9796879999999999</v>
      </c>
      <c r="I145" s="88">
        <v>2.6887500000000002</v>
      </c>
      <c r="J145" s="88">
        <v>2.8509380000000002</v>
      </c>
      <c r="K145" s="41">
        <f t="shared" si="5"/>
        <v>6.2049080325960418E-2</v>
      </c>
    </row>
    <row r="146" spans="1:11" x14ac:dyDescent="0.4">
      <c r="A146" s="96">
        <v>40603</v>
      </c>
      <c r="B146" s="88">
        <v>58.02</v>
      </c>
      <c r="C146" s="88">
        <v>58.369999</v>
      </c>
      <c r="D146" s="88">
        <v>53.77</v>
      </c>
      <c r="E146" s="88">
        <v>57.43</v>
      </c>
      <c r="F146" s="41">
        <f t="shared" si="4"/>
        <v>-5.8854076510300047E-3</v>
      </c>
      <c r="G146" s="88">
        <v>2.87</v>
      </c>
      <c r="H146" s="88">
        <v>2.9049999999999998</v>
      </c>
      <c r="I146" s="88">
        <v>2.4606249999999998</v>
      </c>
      <c r="J146" s="88">
        <v>2.811563</v>
      </c>
      <c r="K146" s="41">
        <f t="shared" si="5"/>
        <v>-1.3811243878330626E-2</v>
      </c>
    </row>
    <row r="147" spans="1:11" x14ac:dyDescent="0.4">
      <c r="A147" s="96">
        <v>40634</v>
      </c>
      <c r="B147" s="88">
        <v>57.720001000000003</v>
      </c>
      <c r="C147" s="88">
        <v>59.290000999999997</v>
      </c>
      <c r="D147" s="88">
        <v>55.32</v>
      </c>
      <c r="E147" s="88">
        <v>59.080002</v>
      </c>
      <c r="F147" s="41">
        <f t="shared" si="4"/>
        <v>2.8730663416332937E-2</v>
      </c>
      <c r="G147" s="88">
        <v>2.8415629999999998</v>
      </c>
      <c r="H147" s="88">
        <v>2.9909379999999999</v>
      </c>
      <c r="I147" s="88">
        <v>2.6059380000000001</v>
      </c>
      <c r="J147" s="88">
        <v>2.9737499999999999</v>
      </c>
      <c r="K147" s="41">
        <f t="shared" si="5"/>
        <v>5.7685707202719573E-2</v>
      </c>
    </row>
    <row r="148" spans="1:11" x14ac:dyDescent="0.4">
      <c r="A148" s="96">
        <v>40664</v>
      </c>
      <c r="B148" s="88">
        <v>59.169998</v>
      </c>
      <c r="C148" s="88">
        <v>59.34</v>
      </c>
      <c r="D148" s="88">
        <v>56.470001000000003</v>
      </c>
      <c r="E148" s="88">
        <v>58.360000999999997</v>
      </c>
      <c r="F148" s="41">
        <f t="shared" si="4"/>
        <v>-1.2186881781080567E-2</v>
      </c>
      <c r="G148" s="88">
        <v>2.9809380000000001</v>
      </c>
      <c r="H148" s="88">
        <v>2.9968750000000002</v>
      </c>
      <c r="I148" s="88">
        <v>2.7084380000000001</v>
      </c>
      <c r="J148" s="88">
        <v>2.8890630000000002</v>
      </c>
      <c r="K148" s="41">
        <f t="shared" si="5"/>
        <v>-2.847818411097091E-2</v>
      </c>
    </row>
    <row r="149" spans="1:11" x14ac:dyDescent="0.4">
      <c r="A149" s="96">
        <v>40695</v>
      </c>
      <c r="B149" s="88">
        <v>58.220001000000003</v>
      </c>
      <c r="C149" s="88">
        <v>58.360000999999997</v>
      </c>
      <c r="D149" s="88">
        <v>53.619999</v>
      </c>
      <c r="E149" s="88">
        <v>57.049999</v>
      </c>
      <c r="F149" s="41">
        <f t="shared" si="4"/>
        <v>-2.2446915311053497E-2</v>
      </c>
      <c r="G149" s="88">
        <v>2.8778130000000002</v>
      </c>
      <c r="H149" s="88">
        <v>2.8915630000000001</v>
      </c>
      <c r="I149" s="88">
        <v>2.4350000000000001</v>
      </c>
      <c r="J149" s="88">
        <v>2.7634379999999998</v>
      </c>
      <c r="K149" s="41">
        <f t="shared" si="5"/>
        <v>-4.3482956238752951E-2</v>
      </c>
    </row>
    <row r="150" spans="1:11" x14ac:dyDescent="0.4">
      <c r="A150" s="96">
        <v>40725</v>
      </c>
      <c r="B150" s="88">
        <v>57.080002</v>
      </c>
      <c r="C150" s="88">
        <v>59.830002</v>
      </c>
      <c r="D150" s="88">
        <v>56.869999</v>
      </c>
      <c r="E150" s="88">
        <v>58</v>
      </c>
      <c r="F150" s="41">
        <f t="shared" si="4"/>
        <v>1.6652077417214334E-2</v>
      </c>
      <c r="G150" s="88">
        <v>2.7690630000000001</v>
      </c>
      <c r="H150" s="88">
        <v>3.0337499999999999</v>
      </c>
      <c r="I150" s="88">
        <v>2.7437499999999999</v>
      </c>
      <c r="J150" s="88">
        <v>2.8471880000000001</v>
      </c>
      <c r="K150" s="41">
        <f t="shared" si="5"/>
        <v>3.030645160123014E-2</v>
      </c>
    </row>
    <row r="151" spans="1:11" x14ac:dyDescent="0.4">
      <c r="A151" s="96">
        <v>40756</v>
      </c>
      <c r="B151" s="88">
        <v>58.700001</v>
      </c>
      <c r="C151" s="88">
        <v>58.82</v>
      </c>
      <c r="D151" s="88">
        <v>49.93</v>
      </c>
      <c r="E151" s="88">
        <v>55.060001</v>
      </c>
      <c r="F151" s="41">
        <f t="shared" si="4"/>
        <v>-5.0689637931034488E-2</v>
      </c>
      <c r="G151" s="88">
        <v>2.9137499999999998</v>
      </c>
      <c r="H151" s="88">
        <v>2.9284379999999999</v>
      </c>
      <c r="I151" s="88">
        <v>2.0806249999999999</v>
      </c>
      <c r="J151" s="88">
        <v>2.5162499999999999</v>
      </c>
      <c r="K151" s="41">
        <f t="shared" si="5"/>
        <v>-0.1162332799941557</v>
      </c>
    </row>
    <row r="152" spans="1:11" x14ac:dyDescent="0.4">
      <c r="A152" s="96">
        <v>40787</v>
      </c>
      <c r="B152" s="88">
        <v>55.200001</v>
      </c>
      <c r="C152" s="88">
        <v>57.349997999999999</v>
      </c>
      <c r="D152" s="88">
        <v>51.91</v>
      </c>
      <c r="E152" s="88">
        <v>52.490001999999997</v>
      </c>
      <c r="F152" s="41">
        <f t="shared" si="4"/>
        <v>-4.667633405963801E-2</v>
      </c>
      <c r="G152" s="88">
        <v>2.5271880000000002</v>
      </c>
      <c r="H152" s="88">
        <v>2.7284380000000001</v>
      </c>
      <c r="I152" s="88">
        <v>2.231563</v>
      </c>
      <c r="J152" s="88">
        <v>2.2796880000000002</v>
      </c>
      <c r="K152" s="41">
        <f t="shared" si="5"/>
        <v>-9.4013710879284548E-2</v>
      </c>
    </row>
    <row r="153" spans="1:11" x14ac:dyDescent="0.4">
      <c r="A153" s="96">
        <v>40817</v>
      </c>
      <c r="B153" s="88">
        <v>52.02</v>
      </c>
      <c r="C153" s="88">
        <v>59.200001</v>
      </c>
      <c r="D153" s="88">
        <v>50.099997999999999</v>
      </c>
      <c r="E153" s="88">
        <v>57.950001</v>
      </c>
      <c r="F153" s="41">
        <f t="shared" si="4"/>
        <v>0.10401979028310961</v>
      </c>
      <c r="G153" s="88">
        <v>2.23875</v>
      </c>
      <c r="H153" s="88">
        <v>2.8774999999999999</v>
      </c>
      <c r="I153" s="88">
        <v>2.0740630000000002</v>
      </c>
      <c r="J153" s="88">
        <v>2.7584379999999999</v>
      </c>
      <c r="K153" s="41">
        <f t="shared" si="5"/>
        <v>0.21000680794915785</v>
      </c>
    </row>
    <row r="154" spans="1:11" x14ac:dyDescent="0.4">
      <c r="A154" s="96">
        <v>40848</v>
      </c>
      <c r="B154" s="88">
        <v>56.52</v>
      </c>
      <c r="C154" s="88">
        <v>58.98</v>
      </c>
      <c r="D154" s="88">
        <v>52.869999</v>
      </c>
      <c r="E154" s="88">
        <v>56.389999000000003</v>
      </c>
      <c r="F154" s="41">
        <f t="shared" si="4"/>
        <v>-2.6919792460400428E-2</v>
      </c>
      <c r="G154" s="88">
        <v>2.6271879999999999</v>
      </c>
      <c r="H154" s="88">
        <v>2.8518750000000002</v>
      </c>
      <c r="I154" s="88">
        <v>2.2821880000000001</v>
      </c>
      <c r="J154" s="88">
        <v>2.5878130000000001</v>
      </c>
      <c r="K154" s="41">
        <f t="shared" si="5"/>
        <v>-6.1855658891009989E-2</v>
      </c>
    </row>
    <row r="155" spans="1:11" x14ac:dyDescent="0.4">
      <c r="A155" s="96">
        <v>40878</v>
      </c>
      <c r="B155" s="88">
        <v>56.380001</v>
      </c>
      <c r="C155" s="88">
        <v>57.619999</v>
      </c>
      <c r="D155" s="88">
        <v>54.169998</v>
      </c>
      <c r="E155" s="88">
        <v>55.830002</v>
      </c>
      <c r="F155" s="41">
        <f t="shared" si="4"/>
        <v>-9.930785776392774E-3</v>
      </c>
      <c r="G155" s="88">
        <v>2.5874999999999999</v>
      </c>
      <c r="H155" s="88">
        <v>2.7015630000000002</v>
      </c>
      <c r="I155" s="88">
        <v>2.3990629999999999</v>
      </c>
      <c r="J155" s="88">
        <v>2.5456249999999998</v>
      </c>
      <c r="K155" s="41">
        <f t="shared" si="5"/>
        <v>-1.6302569003247273E-2</v>
      </c>
    </row>
    <row r="156" spans="1:11" x14ac:dyDescent="0.4">
      <c r="A156" s="96">
        <v>40909</v>
      </c>
      <c r="B156" s="88">
        <v>56.91</v>
      </c>
      <c r="C156" s="88">
        <v>60.860000999999997</v>
      </c>
      <c r="D156" s="88">
        <v>56.560001</v>
      </c>
      <c r="E156" s="88">
        <v>60.529998999999997</v>
      </c>
      <c r="F156" s="41">
        <f t="shared" si="4"/>
        <v>8.4184073645564197E-2</v>
      </c>
      <c r="G156" s="88">
        <v>2.642188</v>
      </c>
      <c r="H156" s="88">
        <v>3.0178129999999999</v>
      </c>
      <c r="I156" s="88">
        <v>2.6106250000000002</v>
      </c>
      <c r="J156" s="88">
        <v>2.9853130000000001</v>
      </c>
      <c r="K156" s="41">
        <f t="shared" si="5"/>
        <v>0.17272300515590486</v>
      </c>
    </row>
    <row r="157" spans="1:11" x14ac:dyDescent="0.4">
      <c r="A157" s="96">
        <v>40940</v>
      </c>
      <c r="B157" s="88">
        <v>60.880001</v>
      </c>
      <c r="C157" s="88">
        <v>64.959998999999996</v>
      </c>
      <c r="D157" s="88">
        <v>60.66</v>
      </c>
      <c r="E157" s="88">
        <v>64.410004000000001</v>
      </c>
      <c r="F157" s="41">
        <f t="shared" si="4"/>
        <v>6.4100529722460498E-2</v>
      </c>
      <c r="G157" s="88">
        <v>3.0165630000000001</v>
      </c>
      <c r="H157" s="88">
        <v>3.4334380000000002</v>
      </c>
      <c r="I157" s="88">
        <v>2.9987499999999998</v>
      </c>
      <c r="J157" s="88">
        <v>3.376563</v>
      </c>
      <c r="K157" s="41">
        <f t="shared" si="5"/>
        <v>0.13105828434070393</v>
      </c>
    </row>
    <row r="158" spans="1:11" x14ac:dyDescent="0.4">
      <c r="A158" s="96">
        <v>40969</v>
      </c>
      <c r="B158" s="88">
        <v>64.650002000000001</v>
      </c>
      <c r="C158" s="88">
        <v>68.510002</v>
      </c>
      <c r="D158" s="88">
        <v>63.23</v>
      </c>
      <c r="E158" s="88">
        <v>67.550003000000004</v>
      </c>
      <c r="F158" s="41">
        <f t="shared" si="4"/>
        <v>4.8750175516213336E-2</v>
      </c>
      <c r="G158" s="88">
        <v>3.4006249999999998</v>
      </c>
      <c r="H158" s="88">
        <v>3.8246880000000001</v>
      </c>
      <c r="I158" s="88">
        <v>3.2518750000000001</v>
      </c>
      <c r="J158" s="88">
        <v>3.7171880000000002</v>
      </c>
      <c r="K158" s="41">
        <f t="shared" si="5"/>
        <v>0.10087920764398596</v>
      </c>
    </row>
    <row r="159" spans="1:11" x14ac:dyDescent="0.4">
      <c r="A159" s="96">
        <v>41000</v>
      </c>
      <c r="B159" s="88">
        <v>67.480002999999996</v>
      </c>
      <c r="C159" s="88">
        <v>68.550003000000004</v>
      </c>
      <c r="D159" s="88">
        <v>64.449996999999996</v>
      </c>
      <c r="E159" s="88">
        <v>66.760002</v>
      </c>
      <c r="F159" s="41">
        <f t="shared" si="4"/>
        <v>-1.1695054995038322E-2</v>
      </c>
      <c r="G159" s="88">
        <v>3.7087500000000002</v>
      </c>
      <c r="H159" s="88">
        <v>3.8275000000000001</v>
      </c>
      <c r="I159" s="88">
        <v>3.3771879999999999</v>
      </c>
      <c r="J159" s="88">
        <v>3.6215630000000001</v>
      </c>
      <c r="K159" s="41">
        <f t="shared" si="5"/>
        <v>-2.572509111726393E-2</v>
      </c>
    </row>
    <row r="160" spans="1:11" x14ac:dyDescent="0.4">
      <c r="A160" s="96">
        <v>41030</v>
      </c>
      <c r="B160" s="88">
        <v>66.690002000000007</v>
      </c>
      <c r="C160" s="88">
        <v>67.629997000000003</v>
      </c>
      <c r="D160" s="88">
        <v>60.759998000000003</v>
      </c>
      <c r="E160" s="88">
        <v>62.060001</v>
      </c>
      <c r="F160" s="41">
        <f t="shared" si="4"/>
        <v>-7.0401450856757017E-2</v>
      </c>
      <c r="G160" s="88">
        <v>3.610938</v>
      </c>
      <c r="H160" s="88">
        <v>3.7128130000000001</v>
      </c>
      <c r="I160" s="88">
        <v>2.9081250000000001</v>
      </c>
      <c r="J160" s="88">
        <v>3.1168749999999998</v>
      </c>
      <c r="K160" s="41">
        <f t="shared" si="5"/>
        <v>-0.13935640495553997</v>
      </c>
    </row>
    <row r="161" spans="1:11" x14ac:dyDescent="0.4">
      <c r="A161" s="96">
        <v>41061</v>
      </c>
      <c r="B161" s="88">
        <v>60.939999</v>
      </c>
      <c r="C161" s="88">
        <v>64.569999999999993</v>
      </c>
      <c r="D161" s="88">
        <v>60.040000999999997</v>
      </c>
      <c r="E161" s="88">
        <v>64.160004000000001</v>
      </c>
      <c r="F161" s="41">
        <f t="shared" si="4"/>
        <v>3.3838268871442673E-2</v>
      </c>
      <c r="G161" s="88">
        <v>3.0074999999999998</v>
      </c>
      <c r="H161" s="88">
        <v>3.379375</v>
      </c>
      <c r="I161" s="88">
        <v>2.9137499999999998</v>
      </c>
      <c r="J161" s="88">
        <v>3.3275000000000001</v>
      </c>
      <c r="K161" s="41">
        <f t="shared" si="5"/>
        <v>6.7575696811710537E-2</v>
      </c>
    </row>
    <row r="162" spans="1:11" x14ac:dyDescent="0.4">
      <c r="A162" s="96">
        <v>41091</v>
      </c>
      <c r="B162" s="88">
        <v>64.25</v>
      </c>
      <c r="C162" s="88">
        <v>65.309997999999993</v>
      </c>
      <c r="D162" s="88">
        <v>61.860000999999997</v>
      </c>
      <c r="E162" s="88">
        <v>64.800003000000004</v>
      </c>
      <c r="F162" s="41">
        <f t="shared" si="4"/>
        <v>9.9750461362191171E-3</v>
      </c>
      <c r="G162" s="88">
        <v>3.3374999999999999</v>
      </c>
      <c r="H162" s="88">
        <v>3.4431250000000002</v>
      </c>
      <c r="I162" s="88">
        <v>3.0918749999999999</v>
      </c>
      <c r="J162" s="88">
        <v>3.381875</v>
      </c>
      <c r="K162" s="41">
        <f t="shared" si="5"/>
        <v>1.6341096919609267E-2</v>
      </c>
    </row>
    <row r="163" spans="1:11" x14ac:dyDescent="0.4">
      <c r="A163" s="96">
        <v>41122</v>
      </c>
      <c r="B163" s="88">
        <v>65.260002</v>
      </c>
      <c r="C163" s="88">
        <v>68.879997000000003</v>
      </c>
      <c r="D163" s="88">
        <v>63.91</v>
      </c>
      <c r="E163" s="88">
        <v>68.160004000000001</v>
      </c>
      <c r="F163" s="41">
        <f t="shared" si="4"/>
        <v>5.1851864883401266E-2</v>
      </c>
      <c r="G163" s="88">
        <v>3.4337499999999999</v>
      </c>
      <c r="H163" s="88">
        <v>3.8206250000000002</v>
      </c>
      <c r="I163" s="88">
        <v>3.2931249999999999</v>
      </c>
      <c r="J163" s="88">
        <v>3.7418749999999998</v>
      </c>
      <c r="K163" s="41">
        <f t="shared" si="5"/>
        <v>0.10644982443171314</v>
      </c>
    </row>
    <row r="164" spans="1:11" x14ac:dyDescent="0.4">
      <c r="A164" s="96">
        <v>41153</v>
      </c>
      <c r="B164" s="88">
        <v>68.029999000000004</v>
      </c>
      <c r="C164" s="88">
        <v>70.580001999999993</v>
      </c>
      <c r="D164" s="88">
        <v>67.419998000000007</v>
      </c>
      <c r="E164" s="88">
        <v>68.569999999999993</v>
      </c>
      <c r="F164" s="41">
        <f t="shared" si="4"/>
        <v>6.0151991775116752E-3</v>
      </c>
      <c r="G164" s="88">
        <v>3.7293750000000001</v>
      </c>
      <c r="H164" s="88">
        <v>4.0225</v>
      </c>
      <c r="I164" s="88">
        <v>3.6587499999999999</v>
      </c>
      <c r="J164" s="88">
        <v>3.8018749999999999</v>
      </c>
      <c r="K164" s="41">
        <f t="shared" si="5"/>
        <v>1.6034741940871903E-2</v>
      </c>
    </row>
    <row r="165" spans="1:11" x14ac:dyDescent="0.4">
      <c r="A165" s="96">
        <v>41183</v>
      </c>
      <c r="B165" s="88">
        <v>68.900002000000001</v>
      </c>
      <c r="C165" s="88">
        <v>69.800003000000004</v>
      </c>
      <c r="D165" s="88">
        <v>64.650002000000001</v>
      </c>
      <c r="E165" s="88">
        <v>64.949996999999996</v>
      </c>
      <c r="F165" s="41">
        <f t="shared" si="4"/>
        <v>-5.279281026688052E-2</v>
      </c>
      <c r="G165" s="88">
        <v>3.8374999999999999</v>
      </c>
      <c r="H165" s="88">
        <v>3.9337499999999999</v>
      </c>
      <c r="I165" s="88">
        <v>3.3693749999999998</v>
      </c>
      <c r="J165" s="88">
        <v>3.3981249999999998</v>
      </c>
      <c r="K165" s="41">
        <f t="shared" si="5"/>
        <v>-0.10619759986848597</v>
      </c>
    </row>
    <row r="166" spans="1:11" x14ac:dyDescent="0.4">
      <c r="A166" s="96">
        <v>41214</v>
      </c>
      <c r="B166" s="88">
        <v>65.360000999999997</v>
      </c>
      <c r="C166" s="88">
        <v>66.209998999999996</v>
      </c>
      <c r="D166" s="88">
        <v>61.310001</v>
      </c>
      <c r="E166" s="88">
        <v>65.800003000000004</v>
      </c>
      <c r="F166" s="41">
        <f t="shared" si="4"/>
        <v>1.3087082975538978E-2</v>
      </c>
      <c r="G166" s="88">
        <v>3.4393750000000001</v>
      </c>
      <c r="H166" s="88">
        <v>3.53125</v>
      </c>
      <c r="I166" s="88">
        <v>3.0212500000000002</v>
      </c>
      <c r="J166" s="88">
        <v>3.48</v>
      </c>
      <c r="K166" s="41">
        <f t="shared" si="5"/>
        <v>2.4094169578811889E-2</v>
      </c>
    </row>
    <row r="167" spans="1:11" x14ac:dyDescent="0.4">
      <c r="A167" s="96">
        <v>41244</v>
      </c>
      <c r="B167" s="88">
        <v>66.309997999999993</v>
      </c>
      <c r="C167" s="88">
        <v>66.760002</v>
      </c>
      <c r="D167" s="88">
        <v>63.580002</v>
      </c>
      <c r="E167" s="88">
        <v>65.129997000000003</v>
      </c>
      <c r="F167" s="41">
        <f t="shared" si="4"/>
        <v>-1.0182461541833072E-2</v>
      </c>
      <c r="G167" s="88">
        <v>3.5325000000000002</v>
      </c>
      <c r="H167" s="88">
        <v>3.5750000000000002</v>
      </c>
      <c r="I167" s="88">
        <v>3.2718750000000001</v>
      </c>
      <c r="J167" s="88">
        <v>3.4256250000000001</v>
      </c>
      <c r="K167" s="41">
        <f t="shared" si="5"/>
        <v>-1.5624999999999955E-2</v>
      </c>
    </row>
    <row r="168" spans="1:11" x14ac:dyDescent="0.4">
      <c r="A168" s="96">
        <v>41275</v>
      </c>
      <c r="B168" s="88">
        <v>66.730002999999996</v>
      </c>
      <c r="C168" s="88">
        <v>67.790001000000004</v>
      </c>
      <c r="D168" s="88">
        <v>66.169998000000007</v>
      </c>
      <c r="E168" s="88">
        <v>66.870002999999997</v>
      </c>
      <c r="F168" s="41">
        <f t="shared" si="4"/>
        <v>2.6715892524914346E-2</v>
      </c>
      <c r="G168" s="88">
        <v>3.5968749999999998</v>
      </c>
      <c r="H168" s="88">
        <v>3.71</v>
      </c>
      <c r="I168" s="88">
        <v>3.5387499999999998</v>
      </c>
      <c r="J168" s="88">
        <v>3.6074999999999999</v>
      </c>
      <c r="K168" s="41">
        <f t="shared" si="5"/>
        <v>5.3092501368363375E-2</v>
      </c>
    </row>
    <row r="169" spans="1:11" x14ac:dyDescent="0.4">
      <c r="A169" s="96">
        <v>41306</v>
      </c>
      <c r="B169" s="88">
        <v>67.339995999999999</v>
      </c>
      <c r="C169" s="88">
        <v>68.260002</v>
      </c>
      <c r="D169" s="88">
        <v>65.959998999999996</v>
      </c>
      <c r="E169" s="88">
        <v>67.099997999999999</v>
      </c>
      <c r="F169" s="41">
        <f t="shared" si="4"/>
        <v>3.439434569787628E-3</v>
      </c>
      <c r="G169" s="88">
        <v>3.66</v>
      </c>
      <c r="H169" s="88">
        <v>3.754375</v>
      </c>
      <c r="I169" s="88">
        <v>3.504375</v>
      </c>
      <c r="J169" s="88">
        <v>3.625</v>
      </c>
      <c r="K169" s="41">
        <f t="shared" si="5"/>
        <v>4.8510048510048706E-3</v>
      </c>
    </row>
    <row r="170" spans="1:11" x14ac:dyDescent="0.4">
      <c r="A170" s="96">
        <v>41334</v>
      </c>
      <c r="B170" s="88">
        <v>66.870002999999997</v>
      </c>
      <c r="C170" s="88">
        <v>69.059997999999993</v>
      </c>
      <c r="D170" s="88">
        <v>66.540001000000004</v>
      </c>
      <c r="E170" s="88">
        <v>68.970000999999996</v>
      </c>
      <c r="F170" s="41">
        <f t="shared" si="4"/>
        <v>2.7868897999072922E-2</v>
      </c>
      <c r="G170" s="88">
        <v>3.600625</v>
      </c>
      <c r="H170" s="88">
        <v>3.8431250000000001</v>
      </c>
      <c r="I170" s="88">
        <v>3.5649999999999999</v>
      </c>
      <c r="J170" s="88">
        <v>3.836875</v>
      </c>
      <c r="K170" s="41">
        <f t="shared" si="5"/>
        <v>5.8448275862068973E-2</v>
      </c>
    </row>
    <row r="171" spans="1:11" x14ac:dyDescent="0.4">
      <c r="A171" s="96">
        <v>41365</v>
      </c>
      <c r="B171" s="88">
        <v>69.019997000000004</v>
      </c>
      <c r="C171" s="88">
        <v>70.730002999999996</v>
      </c>
      <c r="D171" s="88">
        <v>66.879997000000003</v>
      </c>
      <c r="E171" s="88">
        <v>70.720000999999996</v>
      </c>
      <c r="F171" s="41">
        <f t="shared" si="4"/>
        <v>2.5373350364312739E-2</v>
      </c>
      <c r="G171" s="88">
        <v>3.84</v>
      </c>
      <c r="H171" s="88">
        <v>4.0193750000000001</v>
      </c>
      <c r="I171" s="88">
        <v>3.5962499999999999</v>
      </c>
      <c r="J171" s="88">
        <v>4.015625</v>
      </c>
      <c r="K171" s="41">
        <f t="shared" si="5"/>
        <v>4.6587392083401194E-2</v>
      </c>
    </row>
    <row r="172" spans="1:11" x14ac:dyDescent="0.4">
      <c r="A172" s="96">
        <v>41395</v>
      </c>
      <c r="B172" s="88">
        <v>70.739998</v>
      </c>
      <c r="C172" s="88">
        <v>74.949996999999996</v>
      </c>
      <c r="D172" s="88">
        <v>70.25</v>
      </c>
      <c r="E172" s="88">
        <v>73.25</v>
      </c>
      <c r="F172" s="41">
        <f t="shared" si="4"/>
        <v>3.5774872231690208E-2</v>
      </c>
      <c r="G172" s="88">
        <v>4.0193750000000001</v>
      </c>
      <c r="H172" s="88">
        <v>4.5075000000000003</v>
      </c>
      <c r="I172" s="88">
        <v>3.9649999999999999</v>
      </c>
      <c r="J172" s="88">
        <v>4.3012499999999996</v>
      </c>
      <c r="K172" s="41">
        <f t="shared" si="5"/>
        <v>7.1128404669260598E-2</v>
      </c>
    </row>
    <row r="173" spans="1:11" x14ac:dyDescent="0.4">
      <c r="A173" s="96">
        <v>41426</v>
      </c>
      <c r="B173" s="88">
        <v>73.260002</v>
      </c>
      <c r="C173" s="88">
        <v>73.819999999999993</v>
      </c>
      <c r="D173" s="88">
        <v>69.150002000000001</v>
      </c>
      <c r="E173" s="88">
        <v>71.269997000000004</v>
      </c>
      <c r="F173" s="41">
        <f t="shared" si="4"/>
        <v>-2.7030757679180839E-2</v>
      </c>
      <c r="G173" s="88">
        <v>4.3087499999999999</v>
      </c>
      <c r="H173" s="88">
        <v>4.37</v>
      </c>
      <c r="I173" s="88">
        <v>3.8487499999999999</v>
      </c>
      <c r="J173" s="88">
        <v>4.0787500000000003</v>
      </c>
      <c r="K173" s="41">
        <f t="shared" si="5"/>
        <v>-5.1729148503341885E-2</v>
      </c>
    </row>
    <row r="174" spans="1:11" x14ac:dyDescent="0.4">
      <c r="A174" s="96">
        <v>41456</v>
      </c>
      <c r="B174" s="88">
        <v>71.75</v>
      </c>
      <c r="C174" s="88">
        <v>76.209998999999996</v>
      </c>
      <c r="D174" s="88">
        <v>71.349997999999999</v>
      </c>
      <c r="E174" s="88">
        <v>75.769997000000004</v>
      </c>
      <c r="F174" s="41">
        <f t="shared" si="4"/>
        <v>6.3140173837807234E-2</v>
      </c>
      <c r="G174" s="88">
        <v>4.1418749999999998</v>
      </c>
      <c r="H174" s="88">
        <v>4.6637500000000003</v>
      </c>
      <c r="I174" s="88">
        <v>4.0962500000000004</v>
      </c>
      <c r="J174" s="88">
        <v>4.6112500000000001</v>
      </c>
      <c r="K174" s="41">
        <f t="shared" si="5"/>
        <v>0.13055470425988347</v>
      </c>
    </row>
    <row r="175" spans="1:11" x14ac:dyDescent="0.4">
      <c r="A175" s="96">
        <v>41487</v>
      </c>
      <c r="B175" s="88">
        <v>76.290001000000004</v>
      </c>
      <c r="C175" s="88">
        <v>77.279999000000004</v>
      </c>
      <c r="D175" s="88">
        <v>74.959998999999996</v>
      </c>
      <c r="E175" s="88">
        <v>75.470000999999996</v>
      </c>
      <c r="F175" s="41">
        <f t="shared" si="4"/>
        <v>-3.9592980319110641E-3</v>
      </c>
      <c r="G175" s="88">
        <v>4.6743750000000004</v>
      </c>
      <c r="H175" s="88">
        <v>4.7931249999999999</v>
      </c>
      <c r="I175" s="88">
        <v>4.5049999999999999</v>
      </c>
      <c r="J175" s="88">
        <v>4.5631250000000003</v>
      </c>
      <c r="K175" s="41">
        <f t="shared" si="5"/>
        <v>-1.0436432637571104E-2</v>
      </c>
    </row>
    <row r="176" spans="1:11" x14ac:dyDescent="0.4">
      <c r="A176" s="96">
        <v>41518</v>
      </c>
      <c r="B176" s="88">
        <v>76.089995999999999</v>
      </c>
      <c r="C176" s="88">
        <v>79.690002000000007</v>
      </c>
      <c r="D176" s="88">
        <v>75.540001000000004</v>
      </c>
      <c r="E176" s="88">
        <v>78.879997000000003</v>
      </c>
      <c r="F176" s="41">
        <f t="shared" si="4"/>
        <v>4.5183463029237363E-2</v>
      </c>
      <c r="G176" s="88">
        <v>4.640625</v>
      </c>
      <c r="H176" s="88">
        <v>5.09375</v>
      </c>
      <c r="I176" s="88">
        <v>4.5750000000000002</v>
      </c>
      <c r="J176" s="88">
        <v>4.9993749999999997</v>
      </c>
      <c r="K176" s="41">
        <f t="shared" si="5"/>
        <v>9.5603342007943973E-2</v>
      </c>
    </row>
    <row r="177" spans="1:11" x14ac:dyDescent="0.4">
      <c r="A177" s="96">
        <v>41548</v>
      </c>
      <c r="B177" s="88">
        <v>78.889999000000003</v>
      </c>
      <c r="C177" s="88">
        <v>83.489998</v>
      </c>
      <c r="D177" s="88">
        <v>76.349997999999999</v>
      </c>
      <c r="E177" s="88">
        <v>82.790001000000004</v>
      </c>
      <c r="F177" s="41">
        <f t="shared" si="4"/>
        <v>4.9569018112411954E-2</v>
      </c>
      <c r="G177" s="88">
        <v>5.01</v>
      </c>
      <c r="H177" s="88">
        <v>5.5949999999999998</v>
      </c>
      <c r="I177" s="88">
        <v>4.6887499999999998</v>
      </c>
      <c r="J177" s="88">
        <v>5.5025000000000004</v>
      </c>
      <c r="K177" s="41">
        <f t="shared" si="5"/>
        <v>0.10063757969746233</v>
      </c>
    </row>
    <row r="178" spans="1:11" x14ac:dyDescent="0.4">
      <c r="A178" s="96">
        <v>41579</v>
      </c>
      <c r="B178" s="88">
        <v>83.07</v>
      </c>
      <c r="C178" s="88">
        <v>85.839995999999999</v>
      </c>
      <c r="D178" s="88">
        <v>81.370002999999997</v>
      </c>
      <c r="E178" s="88">
        <v>85.730002999999996</v>
      </c>
      <c r="F178" s="41">
        <f t="shared" si="4"/>
        <v>3.5511558938137865E-2</v>
      </c>
      <c r="G178" s="88">
        <v>5.5350000000000001</v>
      </c>
      <c r="H178" s="88">
        <v>5.9056249999999997</v>
      </c>
      <c r="I178" s="88">
        <v>5.3137499999999998</v>
      </c>
      <c r="J178" s="88">
        <v>5.8825000000000003</v>
      </c>
      <c r="K178" s="41">
        <f t="shared" si="5"/>
        <v>6.9059518400726924E-2</v>
      </c>
    </row>
    <row r="179" spans="1:11" x14ac:dyDescent="0.4">
      <c r="A179" s="96">
        <v>41609</v>
      </c>
      <c r="B179" s="88">
        <v>85.830001999999993</v>
      </c>
      <c r="C179" s="88">
        <v>87.959998999999996</v>
      </c>
      <c r="D179" s="88">
        <v>84.050003000000004</v>
      </c>
      <c r="E179" s="88">
        <v>87.959998999999996</v>
      </c>
      <c r="F179" s="41">
        <f t="shared" si="4"/>
        <v>2.6011850250372674E-2</v>
      </c>
      <c r="G179" s="88">
        <v>5.9037499999999996</v>
      </c>
      <c r="H179" s="88">
        <v>6.2249999999999996</v>
      </c>
      <c r="I179" s="88">
        <v>5.6512500000000001</v>
      </c>
      <c r="J179" s="88">
        <v>6.2249999999999996</v>
      </c>
      <c r="K179" s="41">
        <f t="shared" si="5"/>
        <v>5.8223544411389605E-2</v>
      </c>
    </row>
    <row r="180" spans="1:11" x14ac:dyDescent="0.4">
      <c r="A180" s="96">
        <v>41640</v>
      </c>
      <c r="B180" s="88">
        <v>87.550003000000004</v>
      </c>
      <c r="C180" s="88">
        <v>89</v>
      </c>
      <c r="D180" s="88">
        <v>84.760002</v>
      </c>
      <c r="E180" s="88">
        <v>86.269997000000004</v>
      </c>
      <c r="F180" s="41">
        <f t="shared" si="4"/>
        <v>-1.9213301719114308E-2</v>
      </c>
      <c r="G180" s="88">
        <v>6.17</v>
      </c>
      <c r="H180" s="88">
        <v>6.3631250000000001</v>
      </c>
      <c r="I180" s="88">
        <v>5.7668749999999998</v>
      </c>
      <c r="J180" s="88">
        <v>5.9712500000000004</v>
      </c>
      <c r="K180" s="41">
        <f t="shared" si="5"/>
        <v>-4.0763052208835221E-2</v>
      </c>
    </row>
    <row r="181" spans="1:11" x14ac:dyDescent="0.4">
      <c r="A181" s="96">
        <v>41671</v>
      </c>
      <c r="B181" s="88">
        <v>86.110000999999997</v>
      </c>
      <c r="C181" s="88">
        <v>90.959998999999996</v>
      </c>
      <c r="D181" s="88">
        <v>83.739998</v>
      </c>
      <c r="E181" s="88">
        <v>90.339995999999999</v>
      </c>
      <c r="F181" s="41">
        <f t="shared" si="4"/>
        <v>4.7177456143878103E-2</v>
      </c>
      <c r="G181" s="88">
        <v>5.953125</v>
      </c>
      <c r="H181" s="88">
        <v>6.6762499999999996</v>
      </c>
      <c r="I181" s="88">
        <v>5.6206250000000004</v>
      </c>
      <c r="J181" s="88">
        <v>6.5837500000000002</v>
      </c>
      <c r="K181" s="41">
        <f t="shared" si="5"/>
        <v>0.10257483776428718</v>
      </c>
    </row>
    <row r="182" spans="1:11" x14ac:dyDescent="0.4">
      <c r="A182" s="96">
        <v>41699</v>
      </c>
      <c r="B182" s="88">
        <v>89.489998</v>
      </c>
      <c r="C182" s="88">
        <v>91.360000999999997</v>
      </c>
      <c r="D182" s="88">
        <v>86.400002000000001</v>
      </c>
      <c r="E182" s="88">
        <v>87.669998000000007</v>
      </c>
      <c r="F182" s="41">
        <f t="shared" si="4"/>
        <v>-2.9554993560105897E-2</v>
      </c>
      <c r="G182" s="88">
        <v>6.4587500000000002</v>
      </c>
      <c r="H182" s="88">
        <v>6.7318749999999996</v>
      </c>
      <c r="I182" s="88">
        <v>6.0406250000000004</v>
      </c>
      <c r="J182" s="88">
        <v>6.2156250000000002</v>
      </c>
      <c r="K182" s="41">
        <f t="shared" si="5"/>
        <v>-5.5914182646667934E-2</v>
      </c>
    </row>
    <row r="183" spans="1:11" x14ac:dyDescent="0.4">
      <c r="A183" s="96">
        <v>41730</v>
      </c>
      <c r="B183" s="88">
        <v>88.099997999999999</v>
      </c>
      <c r="C183" s="88">
        <v>89.68</v>
      </c>
      <c r="D183" s="88">
        <v>83.279999000000004</v>
      </c>
      <c r="E183" s="88">
        <v>87.389999000000003</v>
      </c>
      <c r="F183" s="41">
        <f t="shared" si="4"/>
        <v>-3.1937835791898119E-3</v>
      </c>
      <c r="G183" s="88">
        <v>6.2750000000000004</v>
      </c>
      <c r="H183" s="88">
        <v>6.5012499999999998</v>
      </c>
      <c r="I183" s="88">
        <v>5.5875000000000004</v>
      </c>
      <c r="J183" s="88">
        <v>6.1481250000000003</v>
      </c>
      <c r="K183" s="41">
        <f t="shared" si="5"/>
        <v>-1.0859728506787313E-2</v>
      </c>
    </row>
    <row r="184" spans="1:11" x14ac:dyDescent="0.4">
      <c r="A184" s="96">
        <v>41760</v>
      </c>
      <c r="B184" s="88">
        <v>87.529999000000004</v>
      </c>
      <c r="C184" s="88">
        <v>91.449996999999996</v>
      </c>
      <c r="D184" s="88">
        <v>85.529999000000004</v>
      </c>
      <c r="E184" s="88">
        <v>91.309997999999993</v>
      </c>
      <c r="F184" s="41">
        <f t="shared" si="4"/>
        <v>4.4856379961738982E-2</v>
      </c>
      <c r="G184" s="88">
        <v>6.163125</v>
      </c>
      <c r="H184" s="88">
        <v>6.7212500000000004</v>
      </c>
      <c r="I184" s="88">
        <v>5.8875000000000002</v>
      </c>
      <c r="J184" s="88">
        <v>6.7006249999999996</v>
      </c>
      <c r="K184" s="41">
        <f t="shared" si="5"/>
        <v>8.9864796177696341E-2</v>
      </c>
    </row>
    <row r="185" spans="1:11" x14ac:dyDescent="0.4">
      <c r="A185" s="96">
        <v>41791</v>
      </c>
      <c r="B185" s="88">
        <v>91.419998000000007</v>
      </c>
      <c r="C185" s="88">
        <v>94.139999000000003</v>
      </c>
      <c r="D185" s="88">
        <v>90.639999000000003</v>
      </c>
      <c r="E185" s="88">
        <v>93.910004000000001</v>
      </c>
      <c r="F185" s="41">
        <f t="shared" si="4"/>
        <v>2.8474494107425211E-2</v>
      </c>
      <c r="G185" s="88">
        <v>6.7156250000000002</v>
      </c>
      <c r="H185" s="88">
        <v>7.1393750000000002</v>
      </c>
      <c r="I185" s="88">
        <v>6.6018749999999997</v>
      </c>
      <c r="J185" s="88">
        <v>7.1062500000000002</v>
      </c>
      <c r="K185" s="41">
        <f t="shared" si="5"/>
        <v>6.0535397817367873E-2</v>
      </c>
    </row>
    <row r="186" spans="1:11" x14ac:dyDescent="0.4">
      <c r="A186" s="96">
        <v>41821</v>
      </c>
      <c r="B186" s="88">
        <v>94.239998</v>
      </c>
      <c r="C186" s="88">
        <v>97.510002</v>
      </c>
      <c r="D186" s="88">
        <v>93.629997000000003</v>
      </c>
      <c r="E186" s="88">
        <v>95.019997000000004</v>
      </c>
      <c r="F186" s="41">
        <f t="shared" si="4"/>
        <v>1.1819752451506687E-2</v>
      </c>
      <c r="G186" s="88">
        <v>7.1506249999999998</v>
      </c>
      <c r="H186" s="88">
        <v>7.6462500000000002</v>
      </c>
      <c r="I186" s="88">
        <v>7.0562500000000004</v>
      </c>
      <c r="J186" s="88">
        <v>7.2549999999999999</v>
      </c>
      <c r="K186" s="41">
        <f t="shared" si="5"/>
        <v>2.0932277924362315E-2</v>
      </c>
    </row>
    <row r="187" spans="1:11" x14ac:dyDescent="0.4">
      <c r="A187" s="96">
        <v>41852</v>
      </c>
      <c r="B187" s="88">
        <v>94.82</v>
      </c>
      <c r="C187" s="88">
        <v>99.910004000000001</v>
      </c>
      <c r="D187" s="88">
        <v>93.889999000000003</v>
      </c>
      <c r="E187" s="88">
        <v>99.779999000000004</v>
      </c>
      <c r="F187" s="41">
        <f t="shared" si="4"/>
        <v>5.0094739531511452E-2</v>
      </c>
      <c r="G187" s="88">
        <v>7.2275</v>
      </c>
      <c r="H187" s="88">
        <v>7.9918750000000003</v>
      </c>
      <c r="I187" s="88">
        <v>7.0806250000000004</v>
      </c>
      <c r="J187" s="88">
        <v>7.99125</v>
      </c>
      <c r="K187" s="41">
        <f t="shared" si="5"/>
        <v>0.10148173673328741</v>
      </c>
    </row>
    <row r="188" spans="1:11" x14ac:dyDescent="0.4">
      <c r="A188" s="96">
        <v>41883</v>
      </c>
      <c r="B188" s="88">
        <v>100.019997</v>
      </c>
      <c r="C188" s="88">
        <v>100.55999799999999</v>
      </c>
      <c r="D188" s="88">
        <v>97.699996999999996</v>
      </c>
      <c r="E188" s="88">
        <v>98.790001000000004</v>
      </c>
      <c r="F188" s="41">
        <f t="shared" si="4"/>
        <v>-9.9218080769874518E-3</v>
      </c>
      <c r="G188" s="88">
        <v>8.0306250000000006</v>
      </c>
      <c r="H188" s="88">
        <v>8.1306250000000002</v>
      </c>
      <c r="I188" s="88">
        <v>7.6831250000000004</v>
      </c>
      <c r="J188" s="88">
        <v>7.8574999999999999</v>
      </c>
      <c r="K188" s="41">
        <f t="shared" si="5"/>
        <v>-1.6737056155169721E-2</v>
      </c>
    </row>
    <row r="189" spans="1:11" x14ac:dyDescent="0.4">
      <c r="A189" s="96">
        <v>41913</v>
      </c>
      <c r="B189" s="88">
        <v>98.510002</v>
      </c>
      <c r="C189" s="88">
        <v>101.75</v>
      </c>
      <c r="D189" s="88">
        <v>90.239998</v>
      </c>
      <c r="E189" s="88">
        <v>101.400002</v>
      </c>
      <c r="F189" s="41">
        <f t="shared" si="4"/>
        <v>2.6419687960120546E-2</v>
      </c>
      <c r="G189" s="88">
        <v>7.8125</v>
      </c>
      <c r="H189" s="88">
        <v>8.2843750000000007</v>
      </c>
      <c r="I189" s="88">
        <v>6.5281250000000002</v>
      </c>
      <c r="J189" s="88">
        <v>8.2287499999999998</v>
      </c>
      <c r="K189" s="41">
        <f t="shared" si="5"/>
        <v>4.7247852370346788E-2</v>
      </c>
    </row>
    <row r="190" spans="1:11" x14ac:dyDescent="0.4">
      <c r="A190" s="96">
        <v>41944</v>
      </c>
      <c r="B190" s="88">
        <v>101.58000199999999</v>
      </c>
      <c r="C190" s="88">
        <v>106.25</v>
      </c>
      <c r="D190" s="88">
        <v>100.66999800000001</v>
      </c>
      <c r="E190" s="88">
        <v>106.010002</v>
      </c>
      <c r="F190" s="41">
        <f t="shared" si="4"/>
        <v>4.5463509951410054E-2</v>
      </c>
      <c r="G190" s="88">
        <v>8.2449999999999992</v>
      </c>
      <c r="H190" s="88">
        <v>9.0262499999999992</v>
      </c>
      <c r="I190" s="88">
        <v>8.11</v>
      </c>
      <c r="J190" s="88">
        <v>8.9849999999999994</v>
      </c>
      <c r="K190" s="41">
        <f t="shared" si="5"/>
        <v>9.1903387513291773E-2</v>
      </c>
    </row>
    <row r="191" spans="1:11" x14ac:dyDescent="0.4">
      <c r="A191" s="96">
        <v>41974</v>
      </c>
      <c r="B191" s="88">
        <v>105.720001</v>
      </c>
      <c r="C191" s="88">
        <v>105.91999800000001</v>
      </c>
      <c r="D191" s="88">
        <v>99.919998000000007</v>
      </c>
      <c r="E191" s="88">
        <v>103.25</v>
      </c>
      <c r="F191" s="41">
        <f t="shared" si="4"/>
        <v>-2.6035298065554231E-2</v>
      </c>
      <c r="G191" s="88">
        <v>8.9362499999999994</v>
      </c>
      <c r="H191" s="88">
        <v>8.96875</v>
      </c>
      <c r="I191" s="88">
        <v>7.96875</v>
      </c>
      <c r="J191" s="88">
        <v>8.5462500000000006</v>
      </c>
      <c r="K191" s="41">
        <f t="shared" si="5"/>
        <v>-4.8831385642737771E-2</v>
      </c>
    </row>
    <row r="192" spans="1:11" x14ac:dyDescent="0.4">
      <c r="A192" s="96">
        <v>42005</v>
      </c>
      <c r="B192" s="88">
        <v>103.760002</v>
      </c>
      <c r="C192" s="88">
        <v>104.58000199999999</v>
      </c>
      <c r="D192" s="88">
        <v>99.360000999999997</v>
      </c>
      <c r="E192" s="88">
        <v>101.099998</v>
      </c>
      <c r="F192" s="41">
        <f t="shared" si="4"/>
        <v>-2.0823263922518168E-2</v>
      </c>
      <c r="G192" s="88">
        <v>8.6312499999999996</v>
      </c>
      <c r="H192" s="88">
        <v>8.7512500000000006</v>
      </c>
      <c r="I192" s="88">
        <v>7.9081250000000001</v>
      </c>
      <c r="J192" s="88">
        <v>8.1743749999999995</v>
      </c>
      <c r="K192" s="41">
        <f t="shared" si="5"/>
        <v>-4.3513236799766104E-2</v>
      </c>
    </row>
    <row r="193" spans="1:11" x14ac:dyDescent="0.4">
      <c r="A193" s="96">
        <v>42036</v>
      </c>
      <c r="B193" s="88">
        <v>101.33000199999999</v>
      </c>
      <c r="C193" s="88">
        <v>108.94000200000001</v>
      </c>
      <c r="D193" s="88">
        <v>99.75</v>
      </c>
      <c r="E193" s="88">
        <v>108.400002</v>
      </c>
      <c r="F193" s="41">
        <f t="shared" si="4"/>
        <v>7.2205777887354675E-2</v>
      </c>
      <c r="G193" s="88">
        <v>8.2043750000000006</v>
      </c>
      <c r="H193" s="88">
        <v>9.4700000000000006</v>
      </c>
      <c r="I193" s="88">
        <v>7.9556250000000004</v>
      </c>
      <c r="J193" s="88">
        <v>9.3787500000000001</v>
      </c>
      <c r="K193" s="41">
        <f t="shared" si="5"/>
        <v>0.14733542319749224</v>
      </c>
    </row>
    <row r="194" spans="1:11" x14ac:dyDescent="0.4">
      <c r="A194" s="96">
        <v>42064</v>
      </c>
      <c r="B194" s="88">
        <v>108.610001</v>
      </c>
      <c r="C194" s="88">
        <v>109.41999800000001</v>
      </c>
      <c r="D194" s="88">
        <v>104.239998</v>
      </c>
      <c r="E194" s="88">
        <v>105.599998</v>
      </c>
      <c r="F194" s="41">
        <f t="shared" si="4"/>
        <v>-2.5830294726378336E-2</v>
      </c>
      <c r="G194" s="88">
        <v>9.4106249999999996</v>
      </c>
      <c r="H194" s="88">
        <v>9.5525000000000002</v>
      </c>
      <c r="I194" s="88">
        <v>8.6856249999999999</v>
      </c>
      <c r="J194" s="88">
        <v>8.9093750000000007</v>
      </c>
      <c r="K194" s="41">
        <f t="shared" si="5"/>
        <v>-5.0046648007463619E-2</v>
      </c>
    </row>
    <row r="195" spans="1:11" x14ac:dyDescent="0.4">
      <c r="A195" s="96">
        <v>42095</v>
      </c>
      <c r="B195" s="88">
        <v>105.599998</v>
      </c>
      <c r="C195" s="88">
        <v>111.160004</v>
      </c>
      <c r="D195" s="88">
        <v>104.339996</v>
      </c>
      <c r="E195" s="88">
        <v>107.629997</v>
      </c>
      <c r="F195" s="41">
        <f t="shared" si="4"/>
        <v>1.9223475742868895E-2</v>
      </c>
      <c r="G195" s="88">
        <v>8.90625</v>
      </c>
      <c r="H195" s="88">
        <v>9.8524999999999991</v>
      </c>
      <c r="I195" s="88">
        <v>8.6974999999999998</v>
      </c>
      <c r="J195" s="88">
        <v>9.2287499999999998</v>
      </c>
      <c r="K195" s="41">
        <f t="shared" si="5"/>
        <v>3.5847071203086528E-2</v>
      </c>
    </row>
    <row r="196" spans="1:11" x14ac:dyDescent="0.4">
      <c r="A196" s="96">
        <v>42125</v>
      </c>
      <c r="B196" s="88">
        <v>108.050003</v>
      </c>
      <c r="C196" s="88">
        <v>111.08000199999999</v>
      </c>
      <c r="D196" s="88">
        <v>106</v>
      </c>
      <c r="E196" s="88">
        <v>110.050003</v>
      </c>
      <c r="F196" s="41">
        <f t="shared" ref="F196:F259" si="6">(E196-E195)/E195</f>
        <v>2.2484493797765327E-2</v>
      </c>
      <c r="G196" s="88">
        <v>9.3043750000000003</v>
      </c>
      <c r="H196" s="88">
        <v>9.8112499999999994</v>
      </c>
      <c r="I196" s="88">
        <v>8.9481249999999992</v>
      </c>
      <c r="J196" s="88">
        <v>9.6374999999999993</v>
      </c>
      <c r="K196" s="41">
        <f t="shared" si="5"/>
        <v>4.4290938642828064E-2</v>
      </c>
    </row>
    <row r="197" spans="1:11" x14ac:dyDescent="0.4">
      <c r="A197" s="96">
        <v>42156</v>
      </c>
      <c r="B197" s="88">
        <v>110.639999</v>
      </c>
      <c r="C197" s="88">
        <v>111.129997</v>
      </c>
      <c r="D197" s="88">
        <v>106.639999</v>
      </c>
      <c r="E197" s="88">
        <v>107.07</v>
      </c>
      <c r="F197" s="41">
        <f t="shared" si="6"/>
        <v>-2.7078627158238337E-2</v>
      </c>
      <c r="G197" s="88">
        <v>9.7312499999999993</v>
      </c>
      <c r="H197" s="88">
        <v>9.8487500000000008</v>
      </c>
      <c r="I197" s="88">
        <v>9.0662500000000001</v>
      </c>
      <c r="J197" s="88">
        <v>9.1437500000000007</v>
      </c>
      <c r="K197" s="41">
        <f t="shared" ref="K197:K260" si="7">(J197-J196)/J196</f>
        <v>-5.1232166018158096E-2</v>
      </c>
    </row>
    <row r="198" spans="1:11" x14ac:dyDescent="0.4">
      <c r="A198" s="96">
        <v>42186</v>
      </c>
      <c r="B198" s="88">
        <v>108.129997</v>
      </c>
      <c r="C198" s="88">
        <v>114.389999</v>
      </c>
      <c r="D198" s="88">
        <v>105.83000199999999</v>
      </c>
      <c r="E198" s="88">
        <v>111.949997</v>
      </c>
      <c r="F198" s="41">
        <f t="shared" si="6"/>
        <v>4.5577631456056818E-2</v>
      </c>
      <c r="G198" s="88">
        <v>9.3212499999999991</v>
      </c>
      <c r="H198" s="88">
        <v>10.407500000000001</v>
      </c>
      <c r="I198" s="88">
        <v>8.9224999999999994</v>
      </c>
      <c r="J198" s="88">
        <v>9.9587500000000002</v>
      </c>
      <c r="K198" s="41">
        <f t="shared" si="7"/>
        <v>8.9131920710868021E-2</v>
      </c>
    </row>
    <row r="199" spans="1:11" x14ac:dyDescent="0.4">
      <c r="A199" s="96">
        <v>42217</v>
      </c>
      <c r="B199" s="88">
        <v>111.970001</v>
      </c>
      <c r="C199" s="88">
        <v>113</v>
      </c>
      <c r="D199" s="88">
        <v>84.739998</v>
      </c>
      <c r="E199" s="88">
        <v>104.30999799999999</v>
      </c>
      <c r="F199" s="41">
        <f t="shared" si="6"/>
        <v>-6.8244745017724331E-2</v>
      </c>
      <c r="G199" s="88">
        <v>9.9612499999999997</v>
      </c>
      <c r="H199" s="88">
        <v>10.141249999999999</v>
      </c>
      <c r="I199" s="88">
        <v>6.875</v>
      </c>
      <c r="J199" s="88">
        <v>8.5637500000000006</v>
      </c>
      <c r="K199" s="41">
        <f t="shared" si="7"/>
        <v>-0.1400778210116731</v>
      </c>
    </row>
    <row r="200" spans="1:11" x14ac:dyDescent="0.4">
      <c r="A200" s="96">
        <v>42248</v>
      </c>
      <c r="B200" s="88">
        <v>101.709999</v>
      </c>
      <c r="C200" s="88">
        <v>108.730003</v>
      </c>
      <c r="D200" s="88">
        <v>98.75</v>
      </c>
      <c r="E200" s="88">
        <v>101.760002</v>
      </c>
      <c r="F200" s="41">
        <f t="shared" si="6"/>
        <v>-2.4446323927644915E-2</v>
      </c>
      <c r="G200" s="88">
        <v>8.1449999999999996</v>
      </c>
      <c r="H200" s="88">
        <v>9.2650000000000006</v>
      </c>
      <c r="I200" s="88">
        <v>7.6687500000000002</v>
      </c>
      <c r="J200" s="88">
        <v>8.1312499999999996</v>
      </c>
      <c r="K200" s="41">
        <f t="shared" si="7"/>
        <v>-5.0503576120274528E-2</v>
      </c>
    </row>
    <row r="201" spans="1:11" x14ac:dyDescent="0.4">
      <c r="A201" s="96">
        <v>42278</v>
      </c>
      <c r="B201" s="88">
        <v>101.94000200000001</v>
      </c>
      <c r="C201" s="88">
        <v>114.08000199999999</v>
      </c>
      <c r="D201" s="88">
        <v>100.480003</v>
      </c>
      <c r="E201" s="88">
        <v>113.33000199999999</v>
      </c>
      <c r="F201" s="41">
        <f t="shared" si="6"/>
        <v>0.11369889713642098</v>
      </c>
      <c r="G201" s="88">
        <v>8.1612500000000008</v>
      </c>
      <c r="H201" s="88">
        <v>10.19875</v>
      </c>
      <c r="I201" s="88">
        <v>7.9337499999999999</v>
      </c>
      <c r="J201" s="88">
        <v>10.067500000000001</v>
      </c>
      <c r="K201" s="41">
        <f t="shared" si="7"/>
        <v>0.23812451960030762</v>
      </c>
    </row>
    <row r="202" spans="1:11" x14ac:dyDescent="0.4">
      <c r="A202" s="96">
        <v>42309</v>
      </c>
      <c r="B202" s="88">
        <v>113.629997</v>
      </c>
      <c r="C202" s="88">
        <v>115.470001</v>
      </c>
      <c r="D202" s="88">
        <v>109.480003</v>
      </c>
      <c r="E202" s="88">
        <v>114.019997</v>
      </c>
      <c r="F202" s="41">
        <f t="shared" si="6"/>
        <v>6.0883701387388165E-3</v>
      </c>
      <c r="G202" s="88">
        <v>10.12125</v>
      </c>
      <c r="H202" s="88">
        <v>10.442500000000001</v>
      </c>
      <c r="I202" s="88">
        <v>9.3837499999999991</v>
      </c>
      <c r="J202" s="88">
        <v>10.16375</v>
      </c>
      <c r="K202" s="41">
        <f t="shared" si="7"/>
        <v>9.5604668487707465E-3</v>
      </c>
    </row>
    <row r="203" spans="1:11" x14ac:dyDescent="0.4">
      <c r="A203" s="96">
        <v>42339</v>
      </c>
      <c r="B203" s="88">
        <v>114.480003</v>
      </c>
      <c r="C203" s="88">
        <v>115.75</v>
      </c>
      <c r="D203" s="88">
        <v>109.379997</v>
      </c>
      <c r="E203" s="88">
        <v>111.860001</v>
      </c>
      <c r="F203" s="41">
        <f t="shared" si="6"/>
        <v>-1.8944010321277297E-2</v>
      </c>
      <c r="G203" s="88">
        <v>10.241250000000001</v>
      </c>
      <c r="H203" s="88">
        <v>10.47125</v>
      </c>
      <c r="I203" s="88">
        <v>9.33</v>
      </c>
      <c r="J203" s="88">
        <v>9.7949999999999999</v>
      </c>
      <c r="K203" s="41">
        <f t="shared" si="7"/>
        <v>-3.6280900258270847E-2</v>
      </c>
    </row>
    <row r="204" spans="1:11" x14ac:dyDescent="0.4">
      <c r="A204" s="96">
        <v>42370</v>
      </c>
      <c r="B204" s="88">
        <v>109.449997</v>
      </c>
      <c r="C204" s="88">
        <v>110.18</v>
      </c>
      <c r="D204" s="88">
        <v>97.25</v>
      </c>
      <c r="E204" s="88">
        <v>104.129997</v>
      </c>
      <c r="F204" s="41">
        <f t="shared" si="6"/>
        <v>-6.910427258086646E-2</v>
      </c>
      <c r="G204" s="88">
        <v>9.3574999999999999</v>
      </c>
      <c r="H204" s="88">
        <v>9.4924999999999997</v>
      </c>
      <c r="I204" s="88">
        <v>7.35</v>
      </c>
      <c r="J204" s="88">
        <v>8.4149999999999991</v>
      </c>
      <c r="K204" s="41">
        <f t="shared" si="7"/>
        <v>-0.14088820826952536</v>
      </c>
    </row>
    <row r="205" spans="1:11" x14ac:dyDescent="0.4">
      <c r="A205" s="96">
        <v>42401</v>
      </c>
      <c r="B205" s="88">
        <v>103.629997</v>
      </c>
      <c r="C205" s="88">
        <v>104.800003</v>
      </c>
      <c r="D205" s="88">
        <v>94.839995999999999</v>
      </c>
      <c r="E205" s="88">
        <v>102.5</v>
      </c>
      <c r="F205" s="41">
        <f t="shared" si="6"/>
        <v>-1.5653481676370384E-2</v>
      </c>
      <c r="G205" s="88">
        <v>8.3287499999999994</v>
      </c>
      <c r="H205" s="88">
        <v>8.5225000000000009</v>
      </c>
      <c r="I205" s="88">
        <v>6.9537500000000003</v>
      </c>
      <c r="J205" s="88">
        <v>8.11</v>
      </c>
      <c r="K205" s="41">
        <f t="shared" si="7"/>
        <v>-3.6244800950683276E-2</v>
      </c>
    </row>
    <row r="206" spans="1:11" x14ac:dyDescent="0.4">
      <c r="A206" s="96">
        <v>42430</v>
      </c>
      <c r="B206" s="88">
        <v>103.480003</v>
      </c>
      <c r="C206" s="88">
        <v>110.040001</v>
      </c>
      <c r="D206" s="88">
        <v>103.160004</v>
      </c>
      <c r="E206" s="88">
        <v>109.199997</v>
      </c>
      <c r="F206" s="41">
        <f t="shared" si="6"/>
        <v>6.5365824390243868E-2</v>
      </c>
      <c r="G206" s="88">
        <v>8.2562499999999996</v>
      </c>
      <c r="H206" s="88">
        <v>9.3625000000000007</v>
      </c>
      <c r="I206" s="88">
        <v>8.2149999999999999</v>
      </c>
      <c r="J206" s="88">
        <v>9.2249999999999996</v>
      </c>
      <c r="K206" s="41">
        <f t="shared" si="7"/>
        <v>0.13748458692971643</v>
      </c>
    </row>
    <row r="207" spans="1:11" x14ac:dyDescent="0.4">
      <c r="A207" s="96">
        <v>42461</v>
      </c>
      <c r="B207" s="88">
        <v>108.540001</v>
      </c>
      <c r="C207" s="88">
        <v>111.44000200000001</v>
      </c>
      <c r="D207" s="88">
        <v>104.879997</v>
      </c>
      <c r="E207" s="88">
        <v>105.720001</v>
      </c>
      <c r="F207" s="41">
        <f t="shared" si="6"/>
        <v>-3.1868096113592384E-2</v>
      </c>
      <c r="G207" s="88">
        <v>9.11</v>
      </c>
      <c r="H207" s="88">
        <v>9.61</v>
      </c>
      <c r="I207" s="88">
        <v>8.4887499999999996</v>
      </c>
      <c r="J207" s="88">
        <v>8.6199999999999992</v>
      </c>
      <c r="K207" s="41">
        <f t="shared" si="7"/>
        <v>-6.5582655826558311E-2</v>
      </c>
    </row>
    <row r="208" spans="1:11" x14ac:dyDescent="0.4">
      <c r="A208" s="96">
        <v>42491</v>
      </c>
      <c r="B208" s="88">
        <v>105.989998</v>
      </c>
      <c r="C208" s="88">
        <v>110.510002</v>
      </c>
      <c r="D208" s="88">
        <v>104.400002</v>
      </c>
      <c r="E208" s="88">
        <v>110.339996</v>
      </c>
      <c r="F208" s="41">
        <f t="shared" si="6"/>
        <v>4.3700292814034342E-2</v>
      </c>
      <c r="G208" s="88">
        <v>8.6537500000000005</v>
      </c>
      <c r="H208" s="88">
        <v>9.3937500000000007</v>
      </c>
      <c r="I208" s="88">
        <v>8.4024999999999999</v>
      </c>
      <c r="J208" s="88">
        <v>9.3674999999999997</v>
      </c>
      <c r="K208" s="41">
        <f t="shared" si="7"/>
        <v>8.6716937354988463E-2</v>
      </c>
    </row>
    <row r="209" spans="1:11" x14ac:dyDescent="0.4">
      <c r="A209" s="96">
        <v>42522</v>
      </c>
      <c r="B209" s="88">
        <v>110</v>
      </c>
      <c r="C209" s="88">
        <v>110.75</v>
      </c>
      <c r="D209" s="88">
        <v>101.75</v>
      </c>
      <c r="E209" s="88">
        <v>107.540001</v>
      </c>
      <c r="F209" s="41">
        <f t="shared" si="6"/>
        <v>-2.5376065810261545E-2</v>
      </c>
      <c r="G209" s="88">
        <v>9.3037500000000009</v>
      </c>
      <c r="H209" s="88">
        <v>9.4312500000000004</v>
      </c>
      <c r="I209" s="88">
        <v>7.9725000000000001</v>
      </c>
      <c r="J209" s="88">
        <v>8.8949999999999996</v>
      </c>
      <c r="K209" s="41">
        <f t="shared" si="7"/>
        <v>-5.044035228182548E-2</v>
      </c>
    </row>
    <row r="210" spans="1:11" x14ac:dyDescent="0.4">
      <c r="A210" s="96">
        <v>42552</v>
      </c>
      <c r="B210" s="88">
        <v>107.489998</v>
      </c>
      <c r="C210" s="88">
        <v>115.540001</v>
      </c>
      <c r="D210" s="88">
        <v>106.57</v>
      </c>
      <c r="E210" s="88">
        <v>115.230003</v>
      </c>
      <c r="F210" s="41">
        <f t="shared" si="6"/>
        <v>7.1508293923114183E-2</v>
      </c>
      <c r="G210" s="88">
        <v>8.8925000000000001</v>
      </c>
      <c r="H210" s="88">
        <v>10.248749999999999</v>
      </c>
      <c r="I210" s="88">
        <v>8.7349999999999994</v>
      </c>
      <c r="J210" s="88">
        <v>10.19375</v>
      </c>
      <c r="K210" s="41">
        <f t="shared" si="7"/>
        <v>0.146008993816751</v>
      </c>
    </row>
    <row r="211" spans="1:11" x14ac:dyDescent="0.4">
      <c r="A211" s="96">
        <v>42583</v>
      </c>
      <c r="B211" s="88">
        <v>115.30999799999999</v>
      </c>
      <c r="C211" s="88">
        <v>118.010002</v>
      </c>
      <c r="D211" s="88">
        <v>114.220001</v>
      </c>
      <c r="E211" s="88">
        <v>116.44000200000001</v>
      </c>
      <c r="F211" s="41">
        <f t="shared" si="6"/>
        <v>1.0500728703443759E-2</v>
      </c>
      <c r="G211" s="88">
        <v>10.20875</v>
      </c>
      <c r="H211" s="88">
        <v>10.68125</v>
      </c>
      <c r="I211" s="88">
        <v>10.01375</v>
      </c>
      <c r="J211" s="88">
        <v>10.38875</v>
      </c>
      <c r="K211" s="41">
        <f t="shared" si="7"/>
        <v>1.9129368485591689E-2</v>
      </c>
    </row>
    <row r="212" spans="1:11" x14ac:dyDescent="0.4">
      <c r="A212" s="96">
        <v>42614</v>
      </c>
      <c r="B212" s="88">
        <v>116.480003</v>
      </c>
      <c r="C212" s="88">
        <v>119.220001</v>
      </c>
      <c r="D212" s="88">
        <v>113.629997</v>
      </c>
      <c r="E212" s="88">
        <v>118.720001</v>
      </c>
      <c r="F212" s="41">
        <f t="shared" si="6"/>
        <v>1.9580891109912461E-2</v>
      </c>
      <c r="G212" s="88">
        <v>10.4025</v>
      </c>
      <c r="H212" s="88">
        <v>10.92375</v>
      </c>
      <c r="I212" s="88">
        <v>9.8849999999999998</v>
      </c>
      <c r="J212" s="88">
        <v>10.817500000000001</v>
      </c>
      <c r="K212" s="41">
        <f t="shared" si="7"/>
        <v>4.1270605221995028E-2</v>
      </c>
    </row>
    <row r="213" spans="1:11" x14ac:dyDescent="0.4">
      <c r="A213" s="96">
        <v>42644</v>
      </c>
      <c r="B213" s="88">
        <v>118.57</v>
      </c>
      <c r="C213" s="88">
        <v>119.660004</v>
      </c>
      <c r="D213" s="88">
        <v>115.94000200000001</v>
      </c>
      <c r="E213" s="88">
        <v>116.989998</v>
      </c>
      <c r="F213" s="41">
        <f t="shared" si="6"/>
        <v>-1.4572127572674098E-2</v>
      </c>
      <c r="G213" s="88">
        <v>10.7875</v>
      </c>
      <c r="H213" s="88">
        <v>10.98</v>
      </c>
      <c r="I213" s="88">
        <v>10.31625</v>
      </c>
      <c r="J213" s="88">
        <v>10.48625</v>
      </c>
      <c r="K213" s="41">
        <f t="shared" si="7"/>
        <v>-3.0621677836838519E-2</v>
      </c>
    </row>
    <row r="214" spans="1:11" x14ac:dyDescent="0.4">
      <c r="A214" s="96">
        <v>42675</v>
      </c>
      <c r="B214" s="88">
        <v>117.19000200000001</v>
      </c>
      <c r="C214" s="88">
        <v>119.510002</v>
      </c>
      <c r="D214" s="88">
        <v>113.449997</v>
      </c>
      <c r="E214" s="88">
        <v>117.5</v>
      </c>
      <c r="F214" s="41">
        <f t="shared" si="6"/>
        <v>4.3593641227346637E-3</v>
      </c>
      <c r="G214" s="88">
        <v>10.525</v>
      </c>
      <c r="H214" s="88">
        <v>10.91625</v>
      </c>
      <c r="I214" s="88">
        <v>9.86</v>
      </c>
      <c r="J214" s="88">
        <v>10.546250000000001</v>
      </c>
      <c r="K214" s="41">
        <f t="shared" si="7"/>
        <v>5.7217785194898551E-3</v>
      </c>
    </row>
    <row r="215" spans="1:11" x14ac:dyDescent="0.4">
      <c r="A215" s="96">
        <v>42705</v>
      </c>
      <c r="B215" s="88">
        <v>117.459999</v>
      </c>
      <c r="C215" s="88">
        <v>121.519997</v>
      </c>
      <c r="D215" s="88">
        <v>115.220001</v>
      </c>
      <c r="E215" s="88">
        <v>118.480003</v>
      </c>
      <c r="F215" s="41">
        <f t="shared" si="6"/>
        <v>8.3404510638297562E-3</v>
      </c>
      <c r="G215" s="88">
        <v>10.546250000000001</v>
      </c>
      <c r="H215" s="88">
        <v>11.31875</v>
      </c>
      <c r="I215" s="88">
        <v>10.141249999999999</v>
      </c>
      <c r="J215" s="88">
        <v>10.765000000000001</v>
      </c>
      <c r="K215" s="41">
        <f t="shared" si="7"/>
        <v>2.0741969894512265E-2</v>
      </c>
    </row>
    <row r="216" spans="1:11" x14ac:dyDescent="0.4">
      <c r="A216" s="96">
        <v>42736</v>
      </c>
      <c r="B216" s="88">
        <v>119.269997</v>
      </c>
      <c r="C216" s="88">
        <v>125.91999800000001</v>
      </c>
      <c r="D216" s="88">
        <v>118.889999</v>
      </c>
      <c r="E216" s="88">
        <v>124.57</v>
      </c>
      <c r="F216" s="41">
        <f t="shared" si="6"/>
        <v>5.1401053728872687E-2</v>
      </c>
      <c r="G216" s="88">
        <v>10.90875</v>
      </c>
      <c r="H216" s="88">
        <v>12.12875</v>
      </c>
      <c r="I216" s="88">
        <v>10.83375</v>
      </c>
      <c r="J216" s="88">
        <v>11.87125</v>
      </c>
      <c r="K216" s="41">
        <f t="shared" si="7"/>
        <v>0.10276358569437986</v>
      </c>
    </row>
    <row r="217" spans="1:11" x14ac:dyDescent="0.4">
      <c r="A217" s="96">
        <v>42767</v>
      </c>
      <c r="B217" s="88">
        <v>125.449997</v>
      </c>
      <c r="C217" s="88">
        <v>130.699997</v>
      </c>
      <c r="D217" s="88">
        <v>124.860001</v>
      </c>
      <c r="E217" s="88">
        <v>130.020004</v>
      </c>
      <c r="F217" s="41">
        <f t="shared" si="6"/>
        <v>4.3750533836397265E-2</v>
      </c>
      <c r="G217" s="88">
        <v>12.02875</v>
      </c>
      <c r="H217" s="88">
        <v>13.046250000000001</v>
      </c>
      <c r="I217" s="88">
        <v>11.922499999999999</v>
      </c>
      <c r="J217" s="88">
        <v>12.911250000000001</v>
      </c>
      <c r="K217" s="41">
        <f t="shared" si="7"/>
        <v>8.7606612614509929E-2</v>
      </c>
    </row>
    <row r="218" spans="1:11" x14ac:dyDescent="0.4">
      <c r="A218" s="96">
        <v>42795</v>
      </c>
      <c r="B218" s="88">
        <v>130.85000600000001</v>
      </c>
      <c r="C218" s="88">
        <v>132.740005</v>
      </c>
      <c r="D218" s="88">
        <v>129.39999399999999</v>
      </c>
      <c r="E218" s="88">
        <v>132.38000500000001</v>
      </c>
      <c r="F218" s="41">
        <f t="shared" si="6"/>
        <v>1.8151060816764864E-2</v>
      </c>
      <c r="G218" s="88">
        <v>13.07</v>
      </c>
      <c r="H218" s="88">
        <v>13.477499999999999</v>
      </c>
      <c r="I218" s="88">
        <v>12.815</v>
      </c>
      <c r="J218" s="88">
        <v>13.407500000000001</v>
      </c>
      <c r="K218" s="41">
        <f t="shared" si="7"/>
        <v>3.843547294026526E-2</v>
      </c>
    </row>
    <row r="219" spans="1:11" x14ac:dyDescent="0.4">
      <c r="A219" s="96">
        <v>42826</v>
      </c>
      <c r="B219" s="88">
        <v>132.490005</v>
      </c>
      <c r="C219" s="88">
        <v>136.33999600000001</v>
      </c>
      <c r="D219" s="88">
        <v>130.38000500000001</v>
      </c>
      <c r="E219" s="88">
        <v>135.990005</v>
      </c>
      <c r="F219" s="41">
        <f t="shared" si="6"/>
        <v>2.7269979329582174E-2</v>
      </c>
      <c r="G219" s="88">
        <v>13.428750000000001</v>
      </c>
      <c r="H219" s="88">
        <v>14.19375</v>
      </c>
      <c r="I219" s="88">
        <v>12.994999999999999</v>
      </c>
      <c r="J219" s="88">
        <v>14.12125</v>
      </c>
      <c r="K219" s="41">
        <f t="shared" si="7"/>
        <v>5.3235129591646405E-2</v>
      </c>
    </row>
    <row r="220" spans="1:11" x14ac:dyDescent="0.4">
      <c r="A220" s="96">
        <v>42856</v>
      </c>
      <c r="B220" s="88">
        <v>136.44000199999999</v>
      </c>
      <c r="C220" s="88">
        <v>141.83999600000001</v>
      </c>
      <c r="D220" s="88">
        <v>135.86999499999999</v>
      </c>
      <c r="E220" s="88">
        <v>141.28999300000001</v>
      </c>
      <c r="F220" s="41">
        <f t="shared" si="6"/>
        <v>3.8973364255704038E-2</v>
      </c>
      <c r="G220" s="88">
        <v>14.213749999999999</v>
      </c>
      <c r="H220" s="88">
        <v>15.317500000000001</v>
      </c>
      <c r="I220" s="88">
        <v>14.071249999999999</v>
      </c>
      <c r="J220" s="88">
        <v>15.1975</v>
      </c>
      <c r="K220" s="41">
        <f t="shared" si="7"/>
        <v>7.6214924316190133E-2</v>
      </c>
    </row>
    <row r="221" spans="1:11" x14ac:dyDescent="0.4">
      <c r="A221" s="96">
        <v>42887</v>
      </c>
      <c r="B221" s="88">
        <v>141.58000200000001</v>
      </c>
      <c r="C221" s="88">
        <v>143.89999399999999</v>
      </c>
      <c r="D221" s="88">
        <v>136.25</v>
      </c>
      <c r="E221" s="88">
        <v>137.63999899999999</v>
      </c>
      <c r="F221" s="41">
        <f t="shared" si="6"/>
        <v>-2.5833351127705278E-2</v>
      </c>
      <c r="G221" s="88">
        <v>15.265000000000001</v>
      </c>
      <c r="H221" s="88">
        <v>15.758749999999999</v>
      </c>
      <c r="I221" s="88">
        <v>14.14875</v>
      </c>
      <c r="J221" s="88">
        <v>14.414999999999999</v>
      </c>
      <c r="K221" s="41">
        <f t="shared" si="7"/>
        <v>-5.1488731699292689E-2</v>
      </c>
    </row>
    <row r="222" spans="1:11" x14ac:dyDescent="0.4">
      <c r="A222" s="96">
        <v>42917</v>
      </c>
      <c r="B222" s="88">
        <v>138.270004</v>
      </c>
      <c r="C222" s="88">
        <v>145.96000699999999</v>
      </c>
      <c r="D222" s="88">
        <v>135.800003</v>
      </c>
      <c r="E222" s="88">
        <v>143.229996</v>
      </c>
      <c r="F222" s="41">
        <f t="shared" si="6"/>
        <v>4.0613172338078929E-2</v>
      </c>
      <c r="G222" s="88">
        <v>14.56625</v>
      </c>
      <c r="H222" s="88">
        <v>16.202499</v>
      </c>
      <c r="I222" s="88">
        <v>14.05125</v>
      </c>
      <c r="J222" s="88">
        <v>15.5975</v>
      </c>
      <c r="K222" s="41">
        <f t="shared" si="7"/>
        <v>8.2032604925424982E-2</v>
      </c>
    </row>
    <row r="223" spans="1:11" x14ac:dyDescent="0.4">
      <c r="A223" s="96">
        <v>42948</v>
      </c>
      <c r="B223" s="88">
        <v>143.720001</v>
      </c>
      <c r="C223" s="88">
        <v>146.21000699999999</v>
      </c>
      <c r="D223" s="88">
        <v>140.179993</v>
      </c>
      <c r="E223" s="88">
        <v>146.199997</v>
      </c>
      <c r="F223" s="41">
        <f t="shared" si="6"/>
        <v>2.0735886915754689E-2</v>
      </c>
      <c r="G223" s="88">
        <v>15.695</v>
      </c>
      <c r="H223" s="88">
        <v>16.192499000000002</v>
      </c>
      <c r="I223" s="88">
        <v>14.9025</v>
      </c>
      <c r="J223" s="88">
        <v>16.155000999999999</v>
      </c>
      <c r="K223" s="41">
        <f t="shared" si="7"/>
        <v>3.5742971630068822E-2</v>
      </c>
    </row>
    <row r="224" spans="1:11" x14ac:dyDescent="0.4">
      <c r="A224" s="96">
        <v>42979</v>
      </c>
      <c r="B224" s="88">
        <v>146.38999899999999</v>
      </c>
      <c r="C224" s="88">
        <v>146.58999600000001</v>
      </c>
      <c r="D224" s="88">
        <v>142.10000600000001</v>
      </c>
      <c r="E224" s="88">
        <v>145.449997</v>
      </c>
      <c r="F224" s="41">
        <f t="shared" si="6"/>
        <v>-5.1299590655942357E-3</v>
      </c>
      <c r="G224" s="88">
        <v>16.235001</v>
      </c>
      <c r="H224" s="88">
        <v>16.2775</v>
      </c>
      <c r="I224" s="88">
        <v>15.3325</v>
      </c>
      <c r="J224" s="88">
        <v>16.055</v>
      </c>
      <c r="K224" s="41">
        <f t="shared" si="7"/>
        <v>-6.1900955623586098E-3</v>
      </c>
    </row>
    <row r="225" spans="1:11" x14ac:dyDescent="0.4">
      <c r="A225" s="96">
        <v>43009</v>
      </c>
      <c r="B225" s="88">
        <v>145.66999799999999</v>
      </c>
      <c r="C225" s="88">
        <v>152.36999499999999</v>
      </c>
      <c r="D225" s="88">
        <v>144.929993</v>
      </c>
      <c r="E225" s="88">
        <v>152.14999399999999</v>
      </c>
      <c r="F225" s="41">
        <f t="shared" si="6"/>
        <v>4.6063919822562777E-2</v>
      </c>
      <c r="G225" s="88">
        <v>16.107500000000002</v>
      </c>
      <c r="H225" s="88">
        <v>17.57</v>
      </c>
      <c r="I225" s="88">
        <v>15.945</v>
      </c>
      <c r="J225" s="88">
        <v>17.52</v>
      </c>
      <c r="K225" s="41">
        <f t="shared" si="7"/>
        <v>9.1248832139520397E-2</v>
      </c>
    </row>
    <row r="226" spans="1:11" x14ac:dyDescent="0.4">
      <c r="A226" s="96">
        <v>43040</v>
      </c>
      <c r="B226" s="88">
        <v>152.759995</v>
      </c>
      <c r="C226" s="88">
        <v>156.69000199999999</v>
      </c>
      <c r="D226" s="88">
        <v>150.770004</v>
      </c>
      <c r="E226" s="88">
        <v>155.14999399999999</v>
      </c>
      <c r="F226" s="41">
        <f t="shared" si="6"/>
        <v>1.9717384937918567E-2</v>
      </c>
      <c r="G226" s="88">
        <v>17.649999999999999</v>
      </c>
      <c r="H226" s="88">
        <v>18.535</v>
      </c>
      <c r="I226" s="88">
        <v>17.204999999999998</v>
      </c>
      <c r="J226" s="88">
        <v>18.170000000000002</v>
      </c>
      <c r="K226" s="41">
        <f t="shared" si="7"/>
        <v>3.7100456621004689E-2</v>
      </c>
    </row>
    <row r="227" spans="1:11" x14ac:dyDescent="0.4">
      <c r="A227" s="96">
        <v>43070</v>
      </c>
      <c r="B227" s="88">
        <v>154.199997</v>
      </c>
      <c r="C227" s="88">
        <v>158.770004</v>
      </c>
      <c r="D227" s="88">
        <v>152.05999800000001</v>
      </c>
      <c r="E227" s="88">
        <v>155.759995</v>
      </c>
      <c r="F227" s="41">
        <f t="shared" si="6"/>
        <v>3.9316856177255876E-3</v>
      </c>
      <c r="G227" s="88">
        <v>17.934999000000001</v>
      </c>
      <c r="H227" s="88">
        <v>19.072500000000002</v>
      </c>
      <c r="I227" s="88">
        <v>17.440000999999999</v>
      </c>
      <c r="J227" s="88">
        <v>18.3325</v>
      </c>
      <c r="K227" s="41">
        <f t="shared" si="7"/>
        <v>8.9433131535496899E-3</v>
      </c>
    </row>
    <row r="228" spans="1:11" x14ac:dyDescent="0.4">
      <c r="A228" s="96">
        <v>43101</v>
      </c>
      <c r="B228" s="88">
        <v>156.55999800000001</v>
      </c>
      <c r="C228" s="88">
        <v>170.949997</v>
      </c>
      <c r="D228" s="88">
        <v>156.16999799999999</v>
      </c>
      <c r="E228" s="88">
        <v>169.39999399999999</v>
      </c>
      <c r="F228" s="41">
        <f t="shared" si="6"/>
        <v>8.7570617859868249E-2</v>
      </c>
      <c r="G228" s="88">
        <v>18.514999</v>
      </c>
      <c r="H228" s="88">
        <v>22.002500999999999</v>
      </c>
      <c r="I228" s="88">
        <v>18.434999000000001</v>
      </c>
      <c r="J228" s="88">
        <v>21.602501</v>
      </c>
      <c r="K228" s="41">
        <f t="shared" si="7"/>
        <v>0.17837179871812359</v>
      </c>
    </row>
    <row r="229" spans="1:11" x14ac:dyDescent="0.4">
      <c r="A229" s="96">
        <v>43132</v>
      </c>
      <c r="B229" s="88">
        <v>168.10000600000001</v>
      </c>
      <c r="C229" s="88">
        <v>170.729996</v>
      </c>
      <c r="D229" s="88">
        <v>150.13000500000001</v>
      </c>
      <c r="E229" s="88">
        <v>167.21000699999999</v>
      </c>
      <c r="F229" s="41">
        <f t="shared" si="6"/>
        <v>-1.2927904826254021E-2</v>
      </c>
      <c r="G229" s="88">
        <v>21.280000999999999</v>
      </c>
      <c r="H229" s="88">
        <v>21.76</v>
      </c>
      <c r="I229" s="88">
        <v>16.870000999999998</v>
      </c>
      <c r="J229" s="88">
        <v>20.862499</v>
      </c>
      <c r="K229" s="41">
        <f t="shared" si="7"/>
        <v>-3.4255385522259693E-2</v>
      </c>
    </row>
    <row r="230" spans="1:11" x14ac:dyDescent="0.4">
      <c r="A230" s="96">
        <v>43160</v>
      </c>
      <c r="B230" s="88">
        <v>167.300003</v>
      </c>
      <c r="C230" s="88">
        <v>175.21000699999999</v>
      </c>
      <c r="D230" s="88">
        <v>156.03999300000001</v>
      </c>
      <c r="E230" s="88">
        <v>160.13000500000001</v>
      </c>
      <c r="F230" s="41">
        <f t="shared" si="6"/>
        <v>-4.2341975381891946E-2</v>
      </c>
      <c r="G230" s="88">
        <v>20.892499999999998</v>
      </c>
      <c r="H230" s="88">
        <v>22.870000999999998</v>
      </c>
      <c r="I230" s="88">
        <v>18.09</v>
      </c>
      <c r="J230" s="88">
        <v>19.049999</v>
      </c>
      <c r="K230" s="41">
        <f t="shared" si="7"/>
        <v>-8.6878374445937656E-2</v>
      </c>
    </row>
    <row r="231" spans="1:11" x14ac:dyDescent="0.4">
      <c r="A231" s="96">
        <v>43191</v>
      </c>
      <c r="B231" s="88">
        <v>158.990005</v>
      </c>
      <c r="C231" s="88">
        <v>167</v>
      </c>
      <c r="D231" s="88">
        <v>153.88000500000001</v>
      </c>
      <c r="E231" s="88">
        <v>160.94000199999999</v>
      </c>
      <c r="F231" s="41">
        <f t="shared" si="6"/>
        <v>5.0583711653539344E-3</v>
      </c>
      <c r="G231" s="88">
        <v>18.772499</v>
      </c>
      <c r="H231" s="88">
        <v>20.622499000000001</v>
      </c>
      <c r="I231" s="88">
        <v>17.555</v>
      </c>
      <c r="J231" s="88">
        <v>19.100000000000001</v>
      </c>
      <c r="K231" s="41">
        <f t="shared" si="7"/>
        <v>2.6247245472297265E-3</v>
      </c>
    </row>
    <row r="232" spans="1:11" x14ac:dyDescent="0.4">
      <c r="A232" s="96">
        <v>43221</v>
      </c>
      <c r="B232" s="88">
        <v>160.520004</v>
      </c>
      <c r="C232" s="88">
        <v>171.199997</v>
      </c>
      <c r="D232" s="88">
        <v>159.220001</v>
      </c>
      <c r="E232" s="88">
        <v>170.070007</v>
      </c>
      <c r="F232" s="41">
        <f t="shared" si="6"/>
        <v>5.6729246219345837E-2</v>
      </c>
      <c r="G232" s="88">
        <v>19.010000000000002</v>
      </c>
      <c r="H232" s="88">
        <v>21.532499000000001</v>
      </c>
      <c r="I232" s="88">
        <v>18.684999000000001</v>
      </c>
      <c r="J232" s="88">
        <v>21.252500999999999</v>
      </c>
      <c r="K232" s="41">
        <f t="shared" si="7"/>
        <v>0.11269638743455483</v>
      </c>
    </row>
    <row r="233" spans="1:11" x14ac:dyDescent="0.4">
      <c r="A233" s="96">
        <v>43252</v>
      </c>
      <c r="B233" s="88">
        <v>170.91999799999999</v>
      </c>
      <c r="C233" s="88">
        <v>177.979996</v>
      </c>
      <c r="D233" s="88">
        <v>169.16999799999999</v>
      </c>
      <c r="E233" s="88">
        <v>171.64999399999999</v>
      </c>
      <c r="F233" s="41">
        <f t="shared" si="6"/>
        <v>9.2902154111158975E-3</v>
      </c>
      <c r="G233" s="88">
        <v>21.459999</v>
      </c>
      <c r="H233" s="88">
        <v>23.322500000000002</v>
      </c>
      <c r="I233" s="88">
        <v>21.040001</v>
      </c>
      <c r="J233" s="88">
        <v>21.614999999999998</v>
      </c>
      <c r="K233" s="41">
        <f t="shared" si="7"/>
        <v>1.7056768989212125E-2</v>
      </c>
    </row>
    <row r="234" spans="1:11" x14ac:dyDescent="0.4">
      <c r="A234" s="96">
        <v>43282</v>
      </c>
      <c r="B234" s="88">
        <v>170.03999300000001</v>
      </c>
      <c r="C234" s="88">
        <v>182.929993</v>
      </c>
      <c r="D234" s="88">
        <v>169.66999799999999</v>
      </c>
      <c r="E234" s="88">
        <v>176.449997</v>
      </c>
      <c r="F234" s="41">
        <f t="shared" si="6"/>
        <v>2.7963898443247273E-2</v>
      </c>
      <c r="G234" s="88">
        <v>21.247499000000001</v>
      </c>
      <c r="H234" s="88">
        <v>24.5075</v>
      </c>
      <c r="I234" s="88">
        <v>21.157499000000001</v>
      </c>
      <c r="J234" s="88">
        <v>22.704999999999998</v>
      </c>
      <c r="K234" s="41">
        <f t="shared" si="7"/>
        <v>5.0427943557714544E-2</v>
      </c>
    </row>
    <row r="235" spans="1:11" x14ac:dyDescent="0.4">
      <c r="A235" s="96">
        <v>43313</v>
      </c>
      <c r="B235" s="88">
        <v>176.86000100000001</v>
      </c>
      <c r="C235" s="88">
        <v>187.520004</v>
      </c>
      <c r="D235" s="88">
        <v>175.78999300000001</v>
      </c>
      <c r="E235" s="88">
        <v>186.64999399999999</v>
      </c>
      <c r="F235" s="41">
        <f t="shared" si="6"/>
        <v>5.7806728100992806E-2</v>
      </c>
      <c r="G235" s="88">
        <v>22.889999</v>
      </c>
      <c r="H235" s="88">
        <v>25.627500999999999</v>
      </c>
      <c r="I235" s="88">
        <v>22.6</v>
      </c>
      <c r="J235" s="88">
        <v>25.379999000000002</v>
      </c>
      <c r="K235" s="41">
        <f t="shared" si="7"/>
        <v>0.11781541510680482</v>
      </c>
    </row>
    <row r="236" spans="1:11" x14ac:dyDescent="0.4">
      <c r="A236" s="96">
        <v>43344</v>
      </c>
      <c r="B236" s="88">
        <v>186.08000200000001</v>
      </c>
      <c r="C236" s="88">
        <v>186.490005</v>
      </c>
      <c r="D236" s="88">
        <v>180.44000199999999</v>
      </c>
      <c r="E236" s="88">
        <v>185.78999300000001</v>
      </c>
      <c r="F236" s="41">
        <f t="shared" si="6"/>
        <v>-4.6075597516492964E-3</v>
      </c>
      <c r="G236" s="88">
        <v>25.24</v>
      </c>
      <c r="H236" s="88">
        <v>25.344999000000001</v>
      </c>
      <c r="I236" s="88">
        <v>23.7075</v>
      </c>
      <c r="J236" s="88">
        <v>25.17</v>
      </c>
      <c r="K236" s="41">
        <f t="shared" si="7"/>
        <v>-8.2741926033960758E-3</v>
      </c>
    </row>
    <row r="237" spans="1:11" x14ac:dyDescent="0.4">
      <c r="A237" s="96">
        <v>43374</v>
      </c>
      <c r="B237" s="88">
        <v>186.86999499999999</v>
      </c>
      <c r="C237" s="88">
        <v>187.529999</v>
      </c>
      <c r="D237" s="88">
        <v>160.08999600000001</v>
      </c>
      <c r="E237" s="88">
        <v>169.820007</v>
      </c>
      <c r="F237" s="41">
        <f t="shared" si="6"/>
        <v>-8.5957191461867408E-2</v>
      </c>
      <c r="G237" s="88">
        <v>25.442499000000002</v>
      </c>
      <c r="H237" s="88">
        <v>25.625</v>
      </c>
      <c r="I237" s="88">
        <v>18.427499999999998</v>
      </c>
      <c r="J237" s="88">
        <v>20.702499</v>
      </c>
      <c r="K237" s="41">
        <f t="shared" si="7"/>
        <v>-0.17749308700834335</v>
      </c>
    </row>
    <row r="238" spans="1:11" x14ac:dyDescent="0.4">
      <c r="A238" s="96">
        <v>43405</v>
      </c>
      <c r="B238" s="88">
        <v>170.070007</v>
      </c>
      <c r="C238" s="88">
        <v>175.58000200000001</v>
      </c>
      <c r="D238" s="88">
        <v>157.13000500000001</v>
      </c>
      <c r="E238" s="88">
        <v>169.36999499999999</v>
      </c>
      <c r="F238" s="41">
        <f t="shared" si="6"/>
        <v>-2.6499351163023752E-3</v>
      </c>
      <c r="G238" s="88">
        <v>20.805</v>
      </c>
      <c r="H238" s="88">
        <v>22.114999999999998</v>
      </c>
      <c r="I238" s="88">
        <v>17.625</v>
      </c>
      <c r="J238" s="88">
        <v>20.459999</v>
      </c>
      <c r="K238" s="41">
        <f t="shared" si="7"/>
        <v>-1.1713561729914815E-2</v>
      </c>
    </row>
    <row r="239" spans="1:11" x14ac:dyDescent="0.4">
      <c r="A239" s="96">
        <v>43435</v>
      </c>
      <c r="B239" s="88">
        <v>173.11000100000001</v>
      </c>
      <c r="C239" s="88">
        <v>173.30999800000001</v>
      </c>
      <c r="D239" s="88">
        <v>143.46000699999999</v>
      </c>
      <c r="E239" s="88">
        <v>154.259995</v>
      </c>
      <c r="F239" s="41">
        <f t="shared" si="6"/>
        <v>-8.9212968330075151E-2</v>
      </c>
      <c r="G239" s="88">
        <v>21.34</v>
      </c>
      <c r="H239" s="88">
        <v>21.385000000000002</v>
      </c>
      <c r="I239" s="88">
        <v>14.61</v>
      </c>
      <c r="J239" s="88">
        <v>16.797501</v>
      </c>
      <c r="K239" s="41">
        <f t="shared" si="7"/>
        <v>-0.17900773113429769</v>
      </c>
    </row>
    <row r="240" spans="1:11" x14ac:dyDescent="0.4">
      <c r="A240" s="96">
        <v>43466</v>
      </c>
      <c r="B240" s="88">
        <v>150.990005</v>
      </c>
      <c r="C240" s="88">
        <v>168.990005</v>
      </c>
      <c r="D240" s="88">
        <v>149.490005</v>
      </c>
      <c r="E240" s="88">
        <v>168.16000399999999</v>
      </c>
      <c r="F240" s="41">
        <f t="shared" si="6"/>
        <v>9.0107671791380406E-2</v>
      </c>
      <c r="G240" s="88">
        <v>16.084999</v>
      </c>
      <c r="H240" s="88">
        <v>19.967500999999999</v>
      </c>
      <c r="I240" s="88">
        <v>15.7425</v>
      </c>
      <c r="J240" s="88">
        <v>19.7925</v>
      </c>
      <c r="K240" s="41">
        <f t="shared" si="7"/>
        <v>0.17830027216548461</v>
      </c>
    </row>
    <row r="241" spans="1:11" x14ac:dyDescent="0.4">
      <c r="A241" s="96">
        <v>43497</v>
      </c>
      <c r="B241" s="88">
        <v>167.33000200000001</v>
      </c>
      <c r="C241" s="88">
        <v>174.66000399999999</v>
      </c>
      <c r="D241" s="88">
        <v>166.570007</v>
      </c>
      <c r="E241" s="88">
        <v>173.19000199999999</v>
      </c>
      <c r="F241" s="41">
        <f t="shared" si="6"/>
        <v>2.9911975977355509E-2</v>
      </c>
      <c r="G241" s="88">
        <v>19.594999000000001</v>
      </c>
      <c r="H241" s="88">
        <v>21.274999999999999</v>
      </c>
      <c r="I241" s="88">
        <v>19.3825</v>
      </c>
      <c r="J241" s="88">
        <v>20.905000999999999</v>
      </c>
      <c r="K241" s="41">
        <f t="shared" si="7"/>
        <v>5.6208210180623878E-2</v>
      </c>
    </row>
    <row r="242" spans="1:11" x14ac:dyDescent="0.4">
      <c r="A242" s="96">
        <v>43525</v>
      </c>
      <c r="B242" s="88">
        <v>174.44000199999999</v>
      </c>
      <c r="C242" s="88">
        <v>182.83000200000001</v>
      </c>
      <c r="D242" s="88">
        <v>169.33999600000001</v>
      </c>
      <c r="E242" s="88">
        <v>179.66000399999999</v>
      </c>
      <c r="F242" s="41">
        <f t="shared" si="6"/>
        <v>3.7357826232948449E-2</v>
      </c>
      <c r="G242" s="88">
        <v>21.2075</v>
      </c>
      <c r="H242" s="88">
        <v>23.290001</v>
      </c>
      <c r="I242" s="88">
        <v>19.962499999999999</v>
      </c>
      <c r="J242" s="88">
        <v>22.482500000000002</v>
      </c>
      <c r="K242" s="41">
        <f t="shared" si="7"/>
        <v>7.5460364723254653E-2</v>
      </c>
    </row>
    <row r="243" spans="1:11" x14ac:dyDescent="0.4">
      <c r="A243" s="96">
        <v>43556</v>
      </c>
      <c r="B243" s="88">
        <v>181.509995</v>
      </c>
      <c r="C243" s="88">
        <v>191.320007</v>
      </c>
      <c r="D243" s="88">
        <v>180.770004</v>
      </c>
      <c r="E243" s="88">
        <v>189.53999300000001</v>
      </c>
      <c r="F243" s="41">
        <f t="shared" si="6"/>
        <v>5.4992701658851263E-2</v>
      </c>
      <c r="G243" s="88">
        <v>22.9025</v>
      </c>
      <c r="H243" s="88">
        <v>25.3825</v>
      </c>
      <c r="I243" s="88">
        <v>22.74</v>
      </c>
      <c r="J243" s="88">
        <v>24.92</v>
      </c>
      <c r="K243" s="41">
        <f t="shared" si="7"/>
        <v>0.10841765817858333</v>
      </c>
    </row>
    <row r="244" spans="1:11" x14ac:dyDescent="0.4">
      <c r="A244" s="96">
        <v>43586</v>
      </c>
      <c r="B244" s="88">
        <v>190.779999</v>
      </c>
      <c r="C244" s="88">
        <v>191.320007</v>
      </c>
      <c r="D244" s="88">
        <v>173.86999499999999</v>
      </c>
      <c r="E244" s="88">
        <v>173.949997</v>
      </c>
      <c r="F244" s="41">
        <f t="shared" si="6"/>
        <v>-8.2251749370909871E-2</v>
      </c>
      <c r="G244" s="88">
        <v>25.232500000000002</v>
      </c>
      <c r="H244" s="88">
        <v>25.377500999999999</v>
      </c>
      <c r="I244" s="88">
        <v>20.815000999999999</v>
      </c>
      <c r="J244" s="88">
        <v>20.817499000000002</v>
      </c>
      <c r="K244" s="41">
        <f t="shared" si="7"/>
        <v>-0.16462684590690208</v>
      </c>
    </row>
    <row r="245" spans="1:11" x14ac:dyDescent="0.4">
      <c r="A245" s="96">
        <v>43617</v>
      </c>
      <c r="B245" s="88">
        <v>173.479996</v>
      </c>
      <c r="C245" s="88">
        <v>189.770004</v>
      </c>
      <c r="D245" s="88">
        <v>169.270004</v>
      </c>
      <c r="E245" s="88">
        <v>186.740005</v>
      </c>
      <c r="F245" s="41">
        <f t="shared" si="6"/>
        <v>7.3526922797245001E-2</v>
      </c>
      <c r="G245" s="88">
        <v>20.727501</v>
      </c>
      <c r="H245" s="88">
        <v>24.695</v>
      </c>
      <c r="I245" s="88">
        <v>19.709999</v>
      </c>
      <c r="J245" s="88">
        <v>24.002500999999999</v>
      </c>
      <c r="K245" s="41">
        <f t="shared" si="7"/>
        <v>0.15299638059307685</v>
      </c>
    </row>
    <row r="246" spans="1:11" x14ac:dyDescent="0.4">
      <c r="A246" s="96">
        <v>43647</v>
      </c>
      <c r="B246" s="88">
        <v>190.320007</v>
      </c>
      <c r="C246" s="88">
        <v>195.550003</v>
      </c>
      <c r="D246" s="88">
        <v>188.38000500000001</v>
      </c>
      <c r="E246" s="88">
        <v>191.10000600000001</v>
      </c>
      <c r="F246" s="41">
        <f t="shared" si="6"/>
        <v>2.3347975170076765E-2</v>
      </c>
      <c r="G246" s="88">
        <v>24.897499</v>
      </c>
      <c r="H246" s="88">
        <v>26.200001</v>
      </c>
      <c r="I246" s="88">
        <v>24.4025</v>
      </c>
      <c r="J246" s="88">
        <v>25.037500000000001</v>
      </c>
      <c r="K246" s="41">
        <f t="shared" si="7"/>
        <v>4.312046482156183E-2</v>
      </c>
    </row>
    <row r="247" spans="1:11" x14ac:dyDescent="0.4">
      <c r="A247" s="96">
        <v>43678</v>
      </c>
      <c r="B247" s="88">
        <v>191.429993</v>
      </c>
      <c r="C247" s="88">
        <v>194.979996</v>
      </c>
      <c r="D247" s="88">
        <v>179.199997</v>
      </c>
      <c r="E247" s="88">
        <v>187.470001</v>
      </c>
      <c r="F247" s="41">
        <f t="shared" si="6"/>
        <v>-1.8995315991774543E-2</v>
      </c>
      <c r="G247" s="88">
        <v>25.107500000000002</v>
      </c>
      <c r="H247" s="88">
        <v>26.012501</v>
      </c>
      <c r="I247" s="88">
        <v>21.927499999999998</v>
      </c>
      <c r="J247" s="88">
        <v>23.857500000000002</v>
      </c>
      <c r="K247" s="41">
        <f t="shared" si="7"/>
        <v>-4.7129306040938575E-2</v>
      </c>
    </row>
    <row r="248" spans="1:11" x14ac:dyDescent="0.4">
      <c r="A248" s="96">
        <v>43709</v>
      </c>
      <c r="B248" s="88">
        <v>186.220001</v>
      </c>
      <c r="C248" s="88">
        <v>194.71000699999999</v>
      </c>
      <c r="D248" s="88">
        <v>185.029999</v>
      </c>
      <c r="E248" s="88">
        <v>188.80999800000001</v>
      </c>
      <c r="F248" s="41">
        <f t="shared" si="6"/>
        <v>7.1477942756292562E-3</v>
      </c>
      <c r="G248" s="88">
        <v>23.540001</v>
      </c>
      <c r="H248" s="88">
        <v>25.674999</v>
      </c>
      <c r="I248" s="88">
        <v>23.225000000000001</v>
      </c>
      <c r="J248" s="88">
        <v>24.182500999999998</v>
      </c>
      <c r="K248" s="41">
        <f t="shared" si="7"/>
        <v>1.36225924761604E-2</v>
      </c>
    </row>
    <row r="249" spans="1:11" x14ac:dyDescent="0.4">
      <c r="A249" s="96">
        <v>43739</v>
      </c>
      <c r="B249" s="88">
        <v>189.5</v>
      </c>
      <c r="C249" s="88">
        <v>197.83000200000001</v>
      </c>
      <c r="D249" s="88">
        <v>181.820007</v>
      </c>
      <c r="E249" s="88">
        <v>197.08000200000001</v>
      </c>
      <c r="F249" s="41">
        <f t="shared" si="6"/>
        <v>4.3800667801500638E-2</v>
      </c>
      <c r="G249" s="88">
        <v>24.360001</v>
      </c>
      <c r="H249" s="88">
        <v>26.442499000000002</v>
      </c>
      <c r="I249" s="88">
        <v>22.412500000000001</v>
      </c>
      <c r="J249" s="88">
        <v>26.2225</v>
      </c>
      <c r="K249" s="41">
        <f t="shared" si="7"/>
        <v>8.4358478885207186E-2</v>
      </c>
    </row>
    <row r="250" spans="1:11" x14ac:dyDescent="0.4">
      <c r="A250" s="96">
        <v>43770</v>
      </c>
      <c r="B250" s="88">
        <v>197.929993</v>
      </c>
      <c r="C250" s="88">
        <v>206.050003</v>
      </c>
      <c r="D250" s="88">
        <v>197.63000500000001</v>
      </c>
      <c r="E250" s="88">
        <v>205.10000600000001</v>
      </c>
      <c r="F250" s="41">
        <f t="shared" si="6"/>
        <v>4.0694154245035981E-2</v>
      </c>
      <c r="G250" s="88">
        <v>26.454999999999998</v>
      </c>
      <c r="H250" s="88">
        <v>28.6</v>
      </c>
      <c r="I250" s="88">
        <v>26.377500999999999</v>
      </c>
      <c r="J250" s="88">
        <v>28.33</v>
      </c>
      <c r="K250" s="41">
        <f t="shared" si="7"/>
        <v>8.0369911335684927E-2</v>
      </c>
    </row>
    <row r="251" spans="1:11" x14ac:dyDescent="0.4">
      <c r="A251" s="96">
        <v>43800</v>
      </c>
      <c r="B251" s="88">
        <v>205.11000100000001</v>
      </c>
      <c r="C251" s="88">
        <v>214.55999800000001</v>
      </c>
      <c r="D251" s="88">
        <v>199.229996</v>
      </c>
      <c r="E251" s="88">
        <v>212.61000100000001</v>
      </c>
      <c r="F251" s="41">
        <f t="shared" si="6"/>
        <v>3.6616259289626758E-2</v>
      </c>
      <c r="G251" s="88">
        <v>28.337499999999999</v>
      </c>
      <c r="H251" s="88">
        <v>31.047501</v>
      </c>
      <c r="I251" s="88">
        <v>26.717500999999999</v>
      </c>
      <c r="J251" s="88">
        <v>30.4725</v>
      </c>
      <c r="K251" s="41">
        <f t="shared" si="7"/>
        <v>7.5626544299329398E-2</v>
      </c>
    </row>
    <row r="252" spans="1:11" x14ac:dyDescent="0.4">
      <c r="A252" s="96">
        <v>43831</v>
      </c>
      <c r="B252" s="88">
        <v>214.39999399999999</v>
      </c>
      <c r="C252" s="88">
        <v>225.88000500000001</v>
      </c>
      <c r="D252" s="88">
        <v>212.240005</v>
      </c>
      <c r="E252" s="88">
        <v>219.070007</v>
      </c>
      <c r="F252" s="41">
        <f t="shared" si="6"/>
        <v>3.0384299748909705E-2</v>
      </c>
      <c r="G252" s="88">
        <v>30.977501</v>
      </c>
      <c r="H252" s="88">
        <v>34.299999</v>
      </c>
      <c r="I252" s="88">
        <v>30.337499999999999</v>
      </c>
      <c r="J252" s="88">
        <v>32.185001</v>
      </c>
      <c r="K252" s="41">
        <f t="shared" si="7"/>
        <v>5.619824431864795E-2</v>
      </c>
    </row>
    <row r="253" spans="1:11" x14ac:dyDescent="0.4">
      <c r="A253" s="96">
        <v>43862</v>
      </c>
      <c r="B253" s="88">
        <v>220.13999899999999</v>
      </c>
      <c r="C253" s="88">
        <v>237.470001</v>
      </c>
      <c r="D253" s="88">
        <v>198.16999799999999</v>
      </c>
      <c r="E253" s="88">
        <v>205.800003</v>
      </c>
      <c r="F253" s="41">
        <f t="shared" si="6"/>
        <v>-6.057426199835745E-2</v>
      </c>
      <c r="G253" s="88">
        <v>32.509998000000003</v>
      </c>
      <c r="H253" s="88">
        <v>37.759998000000003</v>
      </c>
      <c r="I253" s="88">
        <v>26.087499999999999</v>
      </c>
      <c r="J253" s="88">
        <v>28.395</v>
      </c>
      <c r="K253" s="41">
        <f t="shared" si="7"/>
        <v>-0.11775674638009177</v>
      </c>
    </row>
    <row r="254" spans="1:11" x14ac:dyDescent="0.4">
      <c r="A254" s="96">
        <v>43891</v>
      </c>
      <c r="B254" s="88">
        <v>208.88000500000001</v>
      </c>
      <c r="C254" s="88">
        <v>219.61000100000001</v>
      </c>
      <c r="D254" s="88">
        <v>164.929993</v>
      </c>
      <c r="E254" s="88">
        <v>190.39999399999999</v>
      </c>
      <c r="F254" s="41">
        <f t="shared" si="6"/>
        <v>-7.482997461375164E-2</v>
      </c>
      <c r="G254" s="88">
        <v>28.9925</v>
      </c>
      <c r="H254" s="88">
        <v>31.982500000000002</v>
      </c>
      <c r="I254" s="88">
        <v>17.0075</v>
      </c>
      <c r="J254" s="88">
        <v>22.395</v>
      </c>
      <c r="K254" s="41">
        <f t="shared" si="7"/>
        <v>-0.21130480718436345</v>
      </c>
    </row>
    <row r="255" spans="1:11" x14ac:dyDescent="0.4">
      <c r="A255" s="96">
        <v>43922</v>
      </c>
      <c r="B255" s="88">
        <v>184.770004</v>
      </c>
      <c r="C255" s="88">
        <v>220.03999300000001</v>
      </c>
      <c r="D255" s="88">
        <v>180.86000100000001</v>
      </c>
      <c r="E255" s="88">
        <v>218.91000399999999</v>
      </c>
      <c r="F255" s="41">
        <f t="shared" si="6"/>
        <v>0.14973745219760876</v>
      </c>
      <c r="G255" s="88">
        <v>21.105</v>
      </c>
      <c r="H255" s="88">
        <v>29.462499999999999</v>
      </c>
      <c r="I255" s="88">
        <v>20.1875</v>
      </c>
      <c r="J255" s="88">
        <v>29.245000999999998</v>
      </c>
      <c r="K255" s="41">
        <f t="shared" si="7"/>
        <v>0.30587189104710871</v>
      </c>
    </row>
    <row r="256" spans="1:11" x14ac:dyDescent="0.4">
      <c r="A256" s="96">
        <v>43952</v>
      </c>
      <c r="B256" s="88">
        <v>214.5</v>
      </c>
      <c r="C256" s="88">
        <v>233.60000600000001</v>
      </c>
      <c r="D256" s="88">
        <v>211.11999499999999</v>
      </c>
      <c r="E256" s="88">
        <v>233.36000100000001</v>
      </c>
      <c r="F256" s="41">
        <f t="shared" si="6"/>
        <v>6.6008847179044525E-2</v>
      </c>
      <c r="G256" s="88">
        <v>27.985001</v>
      </c>
      <c r="H256" s="88">
        <v>33.047500999999997</v>
      </c>
      <c r="I256" s="88">
        <v>27.09</v>
      </c>
      <c r="J256" s="88">
        <v>32.8675</v>
      </c>
      <c r="K256" s="41">
        <f t="shared" si="7"/>
        <v>0.12386728931895066</v>
      </c>
    </row>
    <row r="257" spans="1:11" x14ac:dyDescent="0.4">
      <c r="A257" s="96">
        <v>43983</v>
      </c>
      <c r="B257" s="88">
        <v>232.46000699999999</v>
      </c>
      <c r="C257" s="88">
        <v>251.14999399999999</v>
      </c>
      <c r="D257" s="88">
        <v>231.470001</v>
      </c>
      <c r="E257" s="88">
        <v>247.60000600000001</v>
      </c>
      <c r="F257" s="41">
        <f t="shared" si="6"/>
        <v>6.1021618696342032E-2</v>
      </c>
      <c r="G257" s="88">
        <v>32.709999000000003</v>
      </c>
      <c r="H257" s="88">
        <v>38.130001</v>
      </c>
      <c r="I257" s="88">
        <v>32.307499</v>
      </c>
      <c r="J257" s="88">
        <v>36.922500999999997</v>
      </c>
      <c r="K257" s="41">
        <f t="shared" si="7"/>
        <v>0.12337418422453783</v>
      </c>
    </row>
    <row r="258" spans="1:11" x14ac:dyDescent="0.4">
      <c r="A258" s="96">
        <v>44013</v>
      </c>
      <c r="B258" s="88">
        <v>247.63999899999999</v>
      </c>
      <c r="C258" s="88">
        <v>269.790009</v>
      </c>
      <c r="D258" s="88">
        <v>247.08000200000001</v>
      </c>
      <c r="E258" s="88">
        <v>265.790009</v>
      </c>
      <c r="F258" s="41">
        <f t="shared" si="6"/>
        <v>7.3465276895025564E-2</v>
      </c>
      <c r="G258" s="88">
        <v>37.009998000000003</v>
      </c>
      <c r="H258" s="88">
        <v>43.845001000000003</v>
      </c>
      <c r="I258" s="88">
        <v>36.849997999999999</v>
      </c>
      <c r="J258" s="88">
        <v>42.419998</v>
      </c>
      <c r="K258" s="41">
        <f t="shared" si="7"/>
        <v>0.14889286616851885</v>
      </c>
    </row>
    <row r="259" spans="1:11" x14ac:dyDescent="0.4">
      <c r="A259" s="96">
        <v>44044</v>
      </c>
      <c r="B259" s="88">
        <v>268</v>
      </c>
      <c r="C259" s="88">
        <v>296.75</v>
      </c>
      <c r="D259" s="88">
        <v>264.63000499999998</v>
      </c>
      <c r="E259" s="88">
        <v>294.88000499999998</v>
      </c>
      <c r="F259" s="41">
        <f t="shared" si="6"/>
        <v>0.10944728926962784</v>
      </c>
      <c r="G259" s="88">
        <v>43.137501</v>
      </c>
      <c r="H259" s="88">
        <v>52.674999</v>
      </c>
      <c r="I259" s="88">
        <v>41.987499</v>
      </c>
      <c r="J259" s="88">
        <v>52.080002</v>
      </c>
      <c r="K259" s="41">
        <f t="shared" si="7"/>
        <v>0.22772287730895227</v>
      </c>
    </row>
    <row r="260" spans="1:11" x14ac:dyDescent="0.4">
      <c r="A260" s="96">
        <v>44075</v>
      </c>
      <c r="B260" s="88">
        <v>297.61999500000002</v>
      </c>
      <c r="C260" s="88">
        <v>303.5</v>
      </c>
      <c r="D260" s="88">
        <v>260.10998499999999</v>
      </c>
      <c r="E260" s="88">
        <v>277.83999599999999</v>
      </c>
      <c r="F260" s="41">
        <f t="shared" ref="F260:F304" si="8">(E260-E259)/E259</f>
        <v>-5.7786247663689505E-2</v>
      </c>
      <c r="G260" s="88">
        <v>52.994999</v>
      </c>
      <c r="H260" s="88">
        <v>55.014999000000003</v>
      </c>
      <c r="I260" s="88">
        <v>40.189999</v>
      </c>
      <c r="J260" s="88">
        <v>45.825001</v>
      </c>
      <c r="K260" s="41">
        <f t="shared" si="7"/>
        <v>-0.12010370122489626</v>
      </c>
    </row>
    <row r="261" spans="1:11" x14ac:dyDescent="0.4">
      <c r="A261" s="96">
        <v>44105</v>
      </c>
      <c r="B261" s="88">
        <v>281.790009</v>
      </c>
      <c r="C261" s="88">
        <v>297.459991</v>
      </c>
      <c r="D261" s="88">
        <v>267.07000699999998</v>
      </c>
      <c r="E261" s="88">
        <v>269.38000499999998</v>
      </c>
      <c r="F261" s="41">
        <f t="shared" si="8"/>
        <v>-3.0449147429443539E-2</v>
      </c>
      <c r="G261" s="88">
        <v>47.055</v>
      </c>
      <c r="H261" s="88">
        <v>52.200001</v>
      </c>
      <c r="I261" s="88">
        <v>41.904998999999997</v>
      </c>
      <c r="J261" s="88">
        <v>42.75</v>
      </c>
      <c r="K261" s="41">
        <f t="shared" ref="K261:K304" si="9">(J261-J260)/J260</f>
        <v>-6.7103130014116094E-2</v>
      </c>
    </row>
    <row r="262" spans="1:11" x14ac:dyDescent="0.4">
      <c r="A262" s="96">
        <v>44136</v>
      </c>
      <c r="B262" s="88">
        <v>271.85000600000001</v>
      </c>
      <c r="C262" s="88">
        <v>300.17001299999998</v>
      </c>
      <c r="D262" s="88">
        <v>266.97000100000002</v>
      </c>
      <c r="E262" s="88">
        <v>299.61999500000002</v>
      </c>
      <c r="F262" s="41">
        <f t="shared" si="8"/>
        <v>0.11225773791191383</v>
      </c>
      <c r="G262" s="88">
        <v>43.400002000000001</v>
      </c>
      <c r="H262" s="88">
        <v>52.66</v>
      </c>
      <c r="I262" s="88">
        <v>41.900002000000001</v>
      </c>
      <c r="J262" s="88">
        <v>52.404998999999997</v>
      </c>
      <c r="K262" s="41">
        <f t="shared" si="9"/>
        <v>0.22584792982456131</v>
      </c>
    </row>
    <row r="263" spans="1:11" x14ac:dyDescent="0.4">
      <c r="A263" s="96">
        <v>44166</v>
      </c>
      <c r="B263" s="88">
        <v>301.97000100000002</v>
      </c>
      <c r="C263" s="88">
        <v>314.69000199999999</v>
      </c>
      <c r="D263" s="88">
        <v>298.08999599999999</v>
      </c>
      <c r="E263" s="88">
        <v>313.73998999999998</v>
      </c>
      <c r="F263" s="41">
        <f t="shared" si="8"/>
        <v>4.7126344154701558E-2</v>
      </c>
      <c r="G263" s="88">
        <v>53.255001</v>
      </c>
      <c r="H263" s="88">
        <v>57.959999000000003</v>
      </c>
      <c r="I263" s="88">
        <v>51.880001</v>
      </c>
      <c r="J263" s="88">
        <v>57.555</v>
      </c>
      <c r="K263" s="41">
        <f t="shared" si="9"/>
        <v>9.8273086504590976E-2</v>
      </c>
    </row>
    <row r="264" spans="1:11" x14ac:dyDescent="0.4">
      <c r="A264" s="96">
        <v>44197</v>
      </c>
      <c r="B264" s="88">
        <v>315.10998499999999</v>
      </c>
      <c r="C264" s="88">
        <v>330.32000699999998</v>
      </c>
      <c r="D264" s="88">
        <v>305.17999300000002</v>
      </c>
      <c r="E264" s="88">
        <v>314.55999800000001</v>
      </c>
      <c r="F264" s="41">
        <f t="shared" si="8"/>
        <v>2.6136547017803816E-3</v>
      </c>
      <c r="G264" s="88">
        <v>58.110000999999997</v>
      </c>
      <c r="H264" s="88">
        <v>63.604999999999997</v>
      </c>
      <c r="I264" s="88">
        <v>54.48</v>
      </c>
      <c r="J264" s="88">
        <v>57.685001</v>
      </c>
      <c r="K264" s="41">
        <f t="shared" si="9"/>
        <v>2.2587264355833558E-3</v>
      </c>
    </row>
    <row r="265" spans="1:11" x14ac:dyDescent="0.4">
      <c r="A265" s="96">
        <v>44228</v>
      </c>
      <c r="B265" s="88">
        <v>318.10998499999999</v>
      </c>
      <c r="C265" s="88">
        <v>338.19000199999999</v>
      </c>
      <c r="D265" s="88">
        <v>310.88000499999998</v>
      </c>
      <c r="E265" s="88">
        <v>314.14001500000001</v>
      </c>
      <c r="F265" s="41">
        <f t="shared" si="8"/>
        <v>-1.3351443370749321E-3</v>
      </c>
      <c r="G265" s="88">
        <v>58.939999</v>
      </c>
      <c r="H265" s="88">
        <v>66.480002999999996</v>
      </c>
      <c r="I265" s="88">
        <v>56.044998</v>
      </c>
      <c r="J265" s="88">
        <v>57.27</v>
      </c>
      <c r="K265" s="41">
        <f t="shared" si="9"/>
        <v>-7.1942618151293195E-3</v>
      </c>
    </row>
    <row r="266" spans="1:11" x14ac:dyDescent="0.4">
      <c r="A266" s="96">
        <v>44256</v>
      </c>
      <c r="B266" s="88">
        <v>319.26998900000001</v>
      </c>
      <c r="C266" s="88">
        <v>324.32998700000002</v>
      </c>
      <c r="D266" s="88">
        <v>297.45001200000002</v>
      </c>
      <c r="E266" s="88">
        <v>319.13000499999998</v>
      </c>
      <c r="F266" s="41">
        <f t="shared" si="8"/>
        <v>1.5884604831383795E-2</v>
      </c>
      <c r="G266" s="88">
        <v>59.115001999999997</v>
      </c>
      <c r="H266" s="88">
        <v>60.919998</v>
      </c>
      <c r="I266" s="88">
        <v>51.200001</v>
      </c>
      <c r="J266" s="88">
        <v>58.595001000000003</v>
      </c>
      <c r="K266" s="41">
        <f t="shared" si="9"/>
        <v>2.3136039811419595E-2</v>
      </c>
    </row>
    <row r="267" spans="1:11" x14ac:dyDescent="0.4">
      <c r="A267" s="96">
        <v>44287</v>
      </c>
      <c r="B267" s="88">
        <v>323.07000699999998</v>
      </c>
      <c r="C267" s="88">
        <v>342.79998799999998</v>
      </c>
      <c r="D267" s="88">
        <v>322.80999800000001</v>
      </c>
      <c r="E267" s="88">
        <v>337.98998999999998</v>
      </c>
      <c r="F267" s="41">
        <f t="shared" si="8"/>
        <v>5.9098125229559643E-2</v>
      </c>
      <c r="G267" s="88">
        <v>60.115001999999997</v>
      </c>
      <c r="H267" s="88">
        <v>67.449996999999996</v>
      </c>
      <c r="I267" s="88">
        <v>60.009998000000003</v>
      </c>
      <c r="J267" s="88">
        <v>65.535004000000001</v>
      </c>
      <c r="K267" s="41">
        <f t="shared" si="9"/>
        <v>0.1184401891212528</v>
      </c>
    </row>
    <row r="268" spans="1:11" x14ac:dyDescent="0.4">
      <c r="A268" s="96">
        <v>44317</v>
      </c>
      <c r="B268" s="88">
        <v>339.23001099999999</v>
      </c>
      <c r="C268" s="88">
        <v>340</v>
      </c>
      <c r="D268" s="88">
        <v>316</v>
      </c>
      <c r="E268" s="88">
        <v>333.92999300000002</v>
      </c>
      <c r="F268" s="41">
        <f t="shared" si="8"/>
        <v>-1.2012181189152831E-2</v>
      </c>
      <c r="G268" s="88">
        <v>66.040001000000004</v>
      </c>
      <c r="H268" s="88">
        <v>66.334998999999996</v>
      </c>
      <c r="I268" s="88">
        <v>57.189999</v>
      </c>
      <c r="J268" s="88">
        <v>63.689999</v>
      </c>
      <c r="K268" s="41">
        <f t="shared" si="9"/>
        <v>-2.8152969976167248E-2</v>
      </c>
    </row>
    <row r="269" spans="1:11" x14ac:dyDescent="0.4">
      <c r="A269" s="96">
        <v>44348</v>
      </c>
      <c r="B269" s="88">
        <v>335.29998799999998</v>
      </c>
      <c r="C269" s="88">
        <v>355.23001099999999</v>
      </c>
      <c r="D269" s="88">
        <v>328.27999899999998</v>
      </c>
      <c r="E269" s="88">
        <v>354.42999300000002</v>
      </c>
      <c r="F269" s="41">
        <f t="shared" si="8"/>
        <v>6.1390112986945737E-2</v>
      </c>
      <c r="G269" s="88">
        <v>64.260002</v>
      </c>
      <c r="H269" s="88">
        <v>72.120002999999997</v>
      </c>
      <c r="I269" s="88">
        <v>61.57</v>
      </c>
      <c r="J269" s="88">
        <v>71.809997999999993</v>
      </c>
      <c r="K269" s="41">
        <f t="shared" si="9"/>
        <v>0.12749252830102875</v>
      </c>
    </row>
    <row r="270" spans="1:11" x14ac:dyDescent="0.4">
      <c r="A270" s="96">
        <v>44378</v>
      </c>
      <c r="B270" s="88">
        <v>354.07000699999998</v>
      </c>
      <c r="C270" s="88">
        <v>368.89001500000001</v>
      </c>
      <c r="D270" s="88">
        <v>352.040009</v>
      </c>
      <c r="E270" s="88">
        <v>364.57000699999998</v>
      </c>
      <c r="F270" s="41">
        <f t="shared" si="8"/>
        <v>2.8609356432202256E-2</v>
      </c>
      <c r="G270" s="88">
        <v>71.639999000000003</v>
      </c>
      <c r="H270" s="88">
        <v>77.639999000000003</v>
      </c>
      <c r="I270" s="88">
        <v>70.730002999999996</v>
      </c>
      <c r="J270" s="88">
        <v>75.800003000000004</v>
      </c>
      <c r="K270" s="41">
        <f t="shared" si="9"/>
        <v>5.5563363196306052E-2</v>
      </c>
    </row>
    <row r="271" spans="1:11" x14ac:dyDescent="0.4">
      <c r="A271" s="96">
        <v>44409</v>
      </c>
      <c r="B271" s="88">
        <v>366.27999899999998</v>
      </c>
      <c r="C271" s="88">
        <v>380.76001000000002</v>
      </c>
      <c r="D271" s="88">
        <v>359.959991</v>
      </c>
      <c r="E271" s="88">
        <v>379.95001200000002</v>
      </c>
      <c r="F271" s="41">
        <f t="shared" si="8"/>
        <v>4.218669858927819E-2</v>
      </c>
      <c r="G271" s="88">
        <v>76.510002</v>
      </c>
      <c r="H271" s="88">
        <v>82.510002</v>
      </c>
      <c r="I271" s="88">
        <v>73.800003000000004</v>
      </c>
      <c r="J271" s="88">
        <v>82.160004000000001</v>
      </c>
      <c r="K271" s="41">
        <f t="shared" si="9"/>
        <v>8.3905023064444959E-2</v>
      </c>
    </row>
    <row r="272" spans="1:11" x14ac:dyDescent="0.4">
      <c r="A272" s="96">
        <v>44440</v>
      </c>
      <c r="B272" s="88">
        <v>381.040009</v>
      </c>
      <c r="C272" s="88">
        <v>382.77999899999998</v>
      </c>
      <c r="D272" s="88">
        <v>357.10000600000001</v>
      </c>
      <c r="E272" s="88">
        <v>357.959991</v>
      </c>
      <c r="F272" s="41">
        <f t="shared" si="8"/>
        <v>-5.7876089763092338E-2</v>
      </c>
      <c r="G272" s="88">
        <v>82.639999000000003</v>
      </c>
      <c r="H272" s="88">
        <v>83.370002999999997</v>
      </c>
      <c r="I272" s="88">
        <v>72.730002999999996</v>
      </c>
      <c r="J272" s="88">
        <v>72.769997000000004</v>
      </c>
      <c r="K272" s="41">
        <f t="shared" si="9"/>
        <v>-0.11428927145621849</v>
      </c>
    </row>
    <row r="273" spans="1:11" x14ac:dyDescent="0.4">
      <c r="A273" s="96">
        <v>44470</v>
      </c>
      <c r="B273" s="88">
        <v>358.60000600000001</v>
      </c>
      <c r="C273" s="88">
        <v>386.27999899999998</v>
      </c>
      <c r="D273" s="88">
        <v>350.32000699999998</v>
      </c>
      <c r="E273" s="88">
        <v>386.10998499999999</v>
      </c>
      <c r="F273" s="41">
        <f t="shared" si="8"/>
        <v>7.8640056731926755E-2</v>
      </c>
      <c r="G273" s="88">
        <v>73.089995999999999</v>
      </c>
      <c r="H273" s="88">
        <v>84.599997999999999</v>
      </c>
      <c r="I273" s="88">
        <v>69.730002999999996</v>
      </c>
      <c r="J273" s="88">
        <v>84.540001000000004</v>
      </c>
      <c r="K273" s="41">
        <f t="shared" si="9"/>
        <v>0.16174253793084531</v>
      </c>
    </row>
    <row r="274" spans="1:11" x14ac:dyDescent="0.4">
      <c r="A274" s="96">
        <v>44501</v>
      </c>
      <c r="B274" s="88">
        <v>386.55999800000001</v>
      </c>
      <c r="C274" s="88">
        <v>408.709991</v>
      </c>
      <c r="D274" s="88">
        <v>384.42001299999998</v>
      </c>
      <c r="E274" s="88">
        <v>393.82000699999998</v>
      </c>
      <c r="F274" s="41">
        <f t="shared" si="8"/>
        <v>1.996846054110717E-2</v>
      </c>
      <c r="G274" s="88">
        <v>84.739998</v>
      </c>
      <c r="H274" s="88">
        <v>94.540001000000004</v>
      </c>
      <c r="I274" s="88">
        <v>83.790001000000004</v>
      </c>
      <c r="J274" s="88">
        <v>87.610000999999997</v>
      </c>
      <c r="K274" s="41">
        <f t="shared" si="9"/>
        <v>3.631417037716847E-2</v>
      </c>
    </row>
    <row r="275" spans="1:11" x14ac:dyDescent="0.4">
      <c r="A275" s="96">
        <v>44531</v>
      </c>
      <c r="B275" s="88">
        <v>398.27999899999998</v>
      </c>
      <c r="C275" s="88">
        <v>404.57998700000002</v>
      </c>
      <c r="D275" s="88">
        <v>377.47000100000002</v>
      </c>
      <c r="E275" s="88">
        <v>397.85000600000001</v>
      </c>
      <c r="F275" s="41">
        <f t="shared" si="8"/>
        <v>1.0233098695770508E-2</v>
      </c>
      <c r="G275" s="88">
        <v>89.650002000000001</v>
      </c>
      <c r="H275" s="88">
        <v>92.25</v>
      </c>
      <c r="I275" s="88">
        <v>80.330001999999993</v>
      </c>
      <c r="J275" s="88">
        <v>89.019997000000004</v>
      </c>
      <c r="K275" s="41">
        <f t="shared" si="9"/>
        <v>1.6094007349686103E-2</v>
      </c>
    </row>
    <row r="276" spans="1:11" x14ac:dyDescent="0.4">
      <c r="A276" s="96">
        <v>44562</v>
      </c>
      <c r="B276" s="88">
        <v>399.04998799999998</v>
      </c>
      <c r="C276" s="88">
        <v>402.27999899999998</v>
      </c>
      <c r="D276" s="88">
        <v>334.14999399999999</v>
      </c>
      <c r="E276" s="88">
        <v>363.04998799999998</v>
      </c>
      <c r="F276" s="41">
        <f t="shared" si="8"/>
        <v>-8.7470195991400893E-2</v>
      </c>
      <c r="G276" s="88">
        <v>89.650002000000001</v>
      </c>
      <c r="H276" s="88">
        <v>91.099997999999999</v>
      </c>
      <c r="I276" s="88">
        <v>62.369999</v>
      </c>
      <c r="J276" s="88">
        <v>73.709998999999996</v>
      </c>
      <c r="K276" s="41">
        <f t="shared" si="9"/>
        <v>-0.17198380718885001</v>
      </c>
    </row>
    <row r="277" spans="1:11" x14ac:dyDescent="0.4">
      <c r="A277" s="96">
        <v>44593</v>
      </c>
      <c r="B277" s="88">
        <v>364.42999300000002</v>
      </c>
      <c r="C277" s="88">
        <v>370.10000600000001</v>
      </c>
      <c r="D277" s="88">
        <v>318.26001000000002</v>
      </c>
      <c r="E277" s="88">
        <v>346.79998799999998</v>
      </c>
      <c r="F277" s="41">
        <f t="shared" si="8"/>
        <v>-4.4759676455353579E-2</v>
      </c>
      <c r="G277" s="88">
        <v>74.139999000000003</v>
      </c>
      <c r="H277" s="88">
        <v>76.449996999999996</v>
      </c>
      <c r="I277" s="88">
        <v>56.119999</v>
      </c>
      <c r="J277" s="88">
        <v>66.669998000000007</v>
      </c>
      <c r="K277" s="41">
        <f t="shared" si="9"/>
        <v>-9.5509443705188352E-2</v>
      </c>
    </row>
    <row r="278" spans="1:11" x14ac:dyDescent="0.4">
      <c r="A278" s="96">
        <v>44621</v>
      </c>
      <c r="B278" s="88">
        <v>345.75</v>
      </c>
      <c r="C278" s="88">
        <v>371.82998700000002</v>
      </c>
      <c r="D278" s="88">
        <v>317.45001200000002</v>
      </c>
      <c r="E278" s="88">
        <v>362.540009</v>
      </c>
      <c r="F278" s="41">
        <f t="shared" si="8"/>
        <v>4.5386451974156396E-2</v>
      </c>
      <c r="G278" s="88">
        <v>66.120002999999997</v>
      </c>
      <c r="H278" s="88">
        <v>75.860000999999997</v>
      </c>
      <c r="I278" s="88">
        <v>55.43</v>
      </c>
      <c r="J278" s="88">
        <v>71.919998000000007</v>
      </c>
      <c r="K278" s="41">
        <f t="shared" si="9"/>
        <v>7.8746065059128983E-2</v>
      </c>
    </row>
    <row r="279" spans="1:11" x14ac:dyDescent="0.4">
      <c r="A279" s="96">
        <v>44652</v>
      </c>
      <c r="B279" s="88">
        <v>362.80999800000001</v>
      </c>
      <c r="C279" s="88">
        <v>369.30999800000001</v>
      </c>
      <c r="D279" s="88">
        <v>312.60000600000001</v>
      </c>
      <c r="E279" s="88">
        <v>313.25</v>
      </c>
      <c r="F279" s="41">
        <f t="shared" si="8"/>
        <v>-0.13595743304568628</v>
      </c>
      <c r="G279" s="88">
        <v>72.220000999999996</v>
      </c>
      <c r="H279" s="88">
        <v>74.769997000000004</v>
      </c>
      <c r="I279" s="88">
        <v>53.009998000000003</v>
      </c>
      <c r="J279" s="88">
        <v>53.200001</v>
      </c>
      <c r="K279" s="41">
        <f t="shared" si="9"/>
        <v>-0.26028917575887595</v>
      </c>
    </row>
    <row r="280" spans="1:11" x14ac:dyDescent="0.4">
      <c r="A280" s="96">
        <v>44682</v>
      </c>
      <c r="B280" s="88">
        <v>312.82998700000002</v>
      </c>
      <c r="C280" s="88">
        <v>330.290009</v>
      </c>
      <c r="D280" s="88">
        <v>280.209991</v>
      </c>
      <c r="E280" s="88">
        <v>308.27999899999998</v>
      </c>
      <c r="F280" s="41">
        <f t="shared" si="8"/>
        <v>-1.5865924980047963E-2</v>
      </c>
      <c r="G280" s="88">
        <v>53.060001</v>
      </c>
      <c r="H280" s="88">
        <v>59.060001</v>
      </c>
      <c r="I280" s="88">
        <v>41.959999000000003</v>
      </c>
      <c r="J280" s="88">
        <v>50.669998</v>
      </c>
      <c r="K280" s="41">
        <f t="shared" si="9"/>
        <v>-4.7556446474502898E-2</v>
      </c>
    </row>
    <row r="281" spans="1:11" x14ac:dyDescent="0.4">
      <c r="A281" s="96">
        <v>44713</v>
      </c>
      <c r="B281" s="88">
        <v>310.47000100000002</v>
      </c>
      <c r="C281" s="88">
        <v>314.55999800000001</v>
      </c>
      <c r="D281" s="88">
        <v>269.27999899999998</v>
      </c>
      <c r="E281" s="88">
        <v>280.27999899999998</v>
      </c>
      <c r="F281" s="41">
        <f t="shared" si="8"/>
        <v>-9.0826521638855989E-2</v>
      </c>
      <c r="G281" s="88">
        <v>51.41</v>
      </c>
      <c r="H281" s="88">
        <v>52.700001</v>
      </c>
      <c r="I281" s="88">
        <v>38.240001999999997</v>
      </c>
      <c r="J281" s="88">
        <v>41.41</v>
      </c>
      <c r="K281" s="41">
        <f t="shared" si="9"/>
        <v>-0.18275110253606094</v>
      </c>
    </row>
    <row r="282" spans="1:11" x14ac:dyDescent="0.4">
      <c r="A282" s="96">
        <v>44743</v>
      </c>
      <c r="B282" s="88">
        <v>278.95001200000002</v>
      </c>
      <c r="C282" s="88">
        <v>316.39001500000001</v>
      </c>
      <c r="D282" s="88">
        <v>276.75</v>
      </c>
      <c r="E282" s="88">
        <v>315.459991</v>
      </c>
      <c r="F282" s="41">
        <f t="shared" si="8"/>
        <v>0.12551731170799679</v>
      </c>
      <c r="G282" s="88">
        <v>40.98</v>
      </c>
      <c r="H282" s="88">
        <v>52.299999</v>
      </c>
      <c r="I282" s="88">
        <v>40.340000000000003</v>
      </c>
      <c r="J282" s="88">
        <v>52.02</v>
      </c>
      <c r="K282" s="41">
        <f t="shared" si="9"/>
        <v>0.25621830475730517</v>
      </c>
    </row>
    <row r="283" spans="1:11" x14ac:dyDescent="0.4">
      <c r="A283" s="96">
        <v>44774</v>
      </c>
      <c r="B283" s="88">
        <v>313.64999399999999</v>
      </c>
      <c r="C283" s="88">
        <v>334.42001299999998</v>
      </c>
      <c r="D283" s="88">
        <v>298.44000199999999</v>
      </c>
      <c r="E283" s="88">
        <v>299.26998900000001</v>
      </c>
      <c r="F283" s="41">
        <f t="shared" si="8"/>
        <v>-5.1321886964740299E-2</v>
      </c>
      <c r="G283" s="88">
        <v>51.419998</v>
      </c>
      <c r="H283" s="88">
        <v>58.220001000000003</v>
      </c>
      <c r="I283" s="88">
        <v>46.099997999999999</v>
      </c>
      <c r="J283" s="88">
        <v>46.369999</v>
      </c>
      <c r="K283" s="41">
        <f t="shared" si="9"/>
        <v>-0.10861209150326803</v>
      </c>
    </row>
    <row r="284" spans="1:11" x14ac:dyDescent="0.4">
      <c r="A284" s="96">
        <v>44805</v>
      </c>
      <c r="B284" s="88">
        <v>296.72000100000002</v>
      </c>
      <c r="C284" s="88">
        <v>311.07998700000002</v>
      </c>
      <c r="D284" s="88">
        <v>267.10000600000001</v>
      </c>
      <c r="E284" s="88">
        <v>267.26001000000002</v>
      </c>
      <c r="F284" s="41">
        <f t="shared" si="8"/>
        <v>-0.10696020375100153</v>
      </c>
      <c r="G284" s="88">
        <v>45.549999</v>
      </c>
      <c r="H284" s="88">
        <v>49.959999000000003</v>
      </c>
      <c r="I284" s="88">
        <v>36.630001</v>
      </c>
      <c r="J284" s="88">
        <v>36.659999999999997</v>
      </c>
      <c r="K284" s="41">
        <f t="shared" si="9"/>
        <v>-0.20940261396166956</v>
      </c>
    </row>
    <row r="285" spans="1:11" x14ac:dyDescent="0.4">
      <c r="A285" s="96">
        <v>44835</v>
      </c>
      <c r="B285" s="88">
        <v>269.07000699999998</v>
      </c>
      <c r="C285" s="88">
        <v>284.60000600000001</v>
      </c>
      <c r="D285" s="88">
        <v>254.259995</v>
      </c>
      <c r="E285" s="88">
        <v>277.95001200000002</v>
      </c>
      <c r="F285" s="41">
        <f t="shared" si="8"/>
        <v>3.9998509316825935E-2</v>
      </c>
      <c r="G285" s="88">
        <v>37.139999000000003</v>
      </c>
      <c r="H285" s="88">
        <v>41.349997999999999</v>
      </c>
      <c r="I285" s="88">
        <v>32.979999999999997</v>
      </c>
      <c r="J285" s="88">
        <v>39.080002</v>
      </c>
      <c r="K285" s="41">
        <f t="shared" si="9"/>
        <v>6.6012056737588767E-2</v>
      </c>
    </row>
    <row r="286" spans="1:11" x14ac:dyDescent="0.4">
      <c r="A286" s="96">
        <v>44866</v>
      </c>
      <c r="B286" s="88">
        <v>281.5</v>
      </c>
      <c r="C286" s="88">
        <v>293.47000100000002</v>
      </c>
      <c r="D286" s="88">
        <v>259.07998700000002</v>
      </c>
      <c r="E286" s="88">
        <v>293.35998499999999</v>
      </c>
      <c r="F286" s="41">
        <f t="shared" si="8"/>
        <v>5.5441526658397765E-2</v>
      </c>
      <c r="G286" s="88">
        <v>40.110000999999997</v>
      </c>
      <c r="H286" s="88">
        <v>43.049999</v>
      </c>
      <c r="I286" s="88">
        <v>33.900002000000001</v>
      </c>
      <c r="J286" s="88">
        <v>42.900002000000001</v>
      </c>
      <c r="K286" s="41">
        <f t="shared" si="9"/>
        <v>9.774820379998958E-2</v>
      </c>
    </row>
    <row r="287" spans="1:11" x14ac:dyDescent="0.4">
      <c r="A287" s="96">
        <v>44896</v>
      </c>
      <c r="B287" s="88">
        <v>293.69000199999999</v>
      </c>
      <c r="C287" s="88">
        <v>296.88000499999998</v>
      </c>
      <c r="D287" s="88">
        <v>259.73001099999999</v>
      </c>
      <c r="E287" s="88">
        <v>266.27999899999998</v>
      </c>
      <c r="F287" s="41">
        <f t="shared" si="8"/>
        <v>-9.2309747016110666E-2</v>
      </c>
      <c r="G287" s="88">
        <v>42.970001000000003</v>
      </c>
      <c r="H287" s="88">
        <v>43.720001000000003</v>
      </c>
      <c r="I287" s="88">
        <v>33.380001</v>
      </c>
      <c r="J287" s="88">
        <v>35.040000999999997</v>
      </c>
      <c r="K287" s="41">
        <f t="shared" si="9"/>
        <v>-0.18321679798523097</v>
      </c>
    </row>
    <row r="288" spans="1:11" x14ac:dyDescent="0.4">
      <c r="A288" s="96">
        <v>44927</v>
      </c>
      <c r="B288" s="88">
        <v>268.64999399999999</v>
      </c>
      <c r="C288" s="88">
        <v>298.26001000000002</v>
      </c>
      <c r="D288" s="88">
        <v>260.33999599999999</v>
      </c>
      <c r="E288" s="88">
        <v>294.61999500000002</v>
      </c>
      <c r="F288" s="41">
        <f t="shared" si="8"/>
        <v>0.10642930789555863</v>
      </c>
      <c r="G288" s="88">
        <v>35.639999000000003</v>
      </c>
      <c r="H288" s="88">
        <v>43.560001</v>
      </c>
      <c r="I288" s="88">
        <v>33.419998</v>
      </c>
      <c r="J288" s="88">
        <v>42.470001000000003</v>
      </c>
      <c r="K288" s="41">
        <f t="shared" si="9"/>
        <v>0.21204337294396788</v>
      </c>
    </row>
    <row r="289" spans="1:11" x14ac:dyDescent="0.4">
      <c r="A289" s="96">
        <v>44958</v>
      </c>
      <c r="B289" s="88">
        <v>294.41000400000001</v>
      </c>
      <c r="C289" s="88">
        <v>313.67999300000002</v>
      </c>
      <c r="D289" s="88">
        <v>290.04998799999998</v>
      </c>
      <c r="E289" s="88">
        <v>293.55999800000001</v>
      </c>
      <c r="F289" s="41">
        <f t="shared" si="8"/>
        <v>-3.5978447423434712E-3</v>
      </c>
      <c r="G289" s="88">
        <v>42.400002000000001</v>
      </c>
      <c r="H289" s="88">
        <v>48.009998000000003</v>
      </c>
      <c r="I289" s="88">
        <v>40.75</v>
      </c>
      <c r="J289" s="88">
        <v>41.73</v>
      </c>
      <c r="K289" s="41">
        <f t="shared" si="9"/>
        <v>-1.7424087180972905E-2</v>
      </c>
    </row>
    <row r="290" spans="1:11" x14ac:dyDescent="0.4">
      <c r="A290" s="96">
        <v>44986</v>
      </c>
      <c r="B290" s="88">
        <v>293.26001000000002</v>
      </c>
      <c r="C290" s="88">
        <v>321.17001299999998</v>
      </c>
      <c r="D290" s="88">
        <v>285.19000199999999</v>
      </c>
      <c r="E290" s="88">
        <v>320.92999300000002</v>
      </c>
      <c r="F290" s="41">
        <f t="shared" si="8"/>
        <v>9.3234756732761714E-2</v>
      </c>
      <c r="G290" s="88">
        <v>41.639999000000003</v>
      </c>
      <c r="H290" s="88">
        <v>49.630001</v>
      </c>
      <c r="I290" s="88">
        <v>39.240001999999997</v>
      </c>
      <c r="J290" s="88">
        <v>49.57</v>
      </c>
      <c r="K290" s="41">
        <f t="shared" si="9"/>
        <v>0.18787443086508518</v>
      </c>
    </row>
    <row r="291" spans="1:11" x14ac:dyDescent="0.4">
      <c r="A291" s="96">
        <v>45017</v>
      </c>
      <c r="B291" s="88">
        <v>318.76998900000001</v>
      </c>
      <c r="C291" s="88">
        <v>322.64999399999999</v>
      </c>
      <c r="D291" s="88">
        <v>309.89001500000001</v>
      </c>
      <c r="E291" s="88">
        <v>322.55999800000001</v>
      </c>
      <c r="F291" s="41">
        <f t="shared" si="8"/>
        <v>5.0790048781759788E-3</v>
      </c>
      <c r="G291" s="88">
        <v>48.889999000000003</v>
      </c>
      <c r="H291" s="88">
        <v>49.759998000000003</v>
      </c>
      <c r="I291" s="88">
        <v>45.98</v>
      </c>
      <c r="J291" s="88">
        <v>49.740001999999997</v>
      </c>
      <c r="K291" s="41">
        <f t="shared" si="9"/>
        <v>3.4295339923340056E-3</v>
      </c>
    </row>
    <row r="292" spans="1:11" x14ac:dyDescent="0.4">
      <c r="A292" s="96">
        <v>45047</v>
      </c>
      <c r="B292" s="88">
        <v>322.08999599999999</v>
      </c>
      <c r="C292" s="88">
        <v>353.92999300000002</v>
      </c>
      <c r="D292" s="88">
        <v>315.11999500000002</v>
      </c>
      <c r="E292" s="88">
        <v>347.98998999999998</v>
      </c>
      <c r="F292" s="41">
        <f t="shared" si="8"/>
        <v>7.8838021322160251E-2</v>
      </c>
      <c r="G292" s="88">
        <v>49.599997999999999</v>
      </c>
      <c r="H292" s="88">
        <v>59.389999000000003</v>
      </c>
      <c r="I292" s="88">
        <v>47.41</v>
      </c>
      <c r="J292" s="88">
        <v>57.32</v>
      </c>
      <c r="K292" s="41">
        <f t="shared" si="9"/>
        <v>0.15239239435495006</v>
      </c>
    </row>
    <row r="293" spans="1:11" x14ac:dyDescent="0.4">
      <c r="A293" s="96">
        <v>45078</v>
      </c>
      <c r="B293" s="88">
        <v>347.73001099999999</v>
      </c>
      <c r="C293" s="88">
        <v>372.85000600000001</v>
      </c>
      <c r="D293" s="88">
        <v>346.66000400000001</v>
      </c>
      <c r="E293" s="88">
        <v>369.42001299999998</v>
      </c>
      <c r="F293" s="41">
        <f t="shared" si="8"/>
        <v>6.1582297237917694E-2</v>
      </c>
      <c r="G293" s="88">
        <v>57.290000999999997</v>
      </c>
      <c r="H293" s="88">
        <v>65.620002999999997</v>
      </c>
      <c r="I293" s="88">
        <v>56.950001</v>
      </c>
      <c r="J293" s="88">
        <v>64.379997000000003</v>
      </c>
      <c r="K293" s="41">
        <f t="shared" si="9"/>
        <v>0.12316812630844387</v>
      </c>
    </row>
    <row r="294" spans="1:11" x14ac:dyDescent="0.4">
      <c r="A294" s="96">
        <v>45108</v>
      </c>
      <c r="B294" s="88">
        <v>370.07000699999998</v>
      </c>
      <c r="C294" s="88">
        <v>387.98001099999999</v>
      </c>
      <c r="D294" s="88">
        <v>363.41000400000001</v>
      </c>
      <c r="E294" s="88">
        <v>383.67999300000002</v>
      </c>
      <c r="F294" s="41">
        <f t="shared" si="8"/>
        <v>3.8600994797756236E-2</v>
      </c>
      <c r="G294" s="88">
        <v>64.580001999999993</v>
      </c>
      <c r="H294" s="88">
        <v>70.739998</v>
      </c>
      <c r="I294" s="88">
        <v>62.200001</v>
      </c>
      <c r="J294" s="88">
        <v>69.029999000000004</v>
      </c>
      <c r="K294" s="41">
        <f t="shared" si="9"/>
        <v>7.22274342448323E-2</v>
      </c>
    </row>
    <row r="295" spans="1:11" x14ac:dyDescent="0.4">
      <c r="A295" s="96">
        <v>45139</v>
      </c>
      <c r="B295" s="88">
        <v>382.30999800000001</v>
      </c>
      <c r="C295" s="88">
        <v>383.55999800000001</v>
      </c>
      <c r="D295" s="88">
        <v>354.709991</v>
      </c>
      <c r="E295" s="88">
        <v>377.98998999999998</v>
      </c>
      <c r="F295" s="41">
        <f t="shared" si="8"/>
        <v>-1.4830074811849902E-2</v>
      </c>
      <c r="G295" s="88">
        <v>68.470000999999996</v>
      </c>
      <c r="H295" s="88">
        <v>68.900002000000001</v>
      </c>
      <c r="I295" s="88">
        <v>58.639999000000003</v>
      </c>
      <c r="J295" s="88">
        <v>66.279999000000004</v>
      </c>
      <c r="K295" s="41">
        <f t="shared" si="9"/>
        <v>-3.9837752279266295E-2</v>
      </c>
    </row>
    <row r="296" spans="1:11" x14ac:dyDescent="0.4">
      <c r="A296" s="96">
        <v>45170</v>
      </c>
      <c r="B296" s="88">
        <v>380.39999399999999</v>
      </c>
      <c r="C296" s="88">
        <v>380.82998700000002</v>
      </c>
      <c r="D296" s="88">
        <v>351.35998499999999</v>
      </c>
      <c r="E296" s="88">
        <v>358.26998900000001</v>
      </c>
      <c r="F296" s="41">
        <f t="shared" si="8"/>
        <v>-5.2170696372144588E-2</v>
      </c>
      <c r="G296" s="88">
        <v>67.169998000000007</v>
      </c>
      <c r="H296" s="88">
        <v>67.290001000000004</v>
      </c>
      <c r="I296" s="88">
        <v>57.099997999999999</v>
      </c>
      <c r="J296" s="88">
        <v>59.349997999999999</v>
      </c>
      <c r="K296" s="41">
        <f t="shared" si="9"/>
        <v>-0.10455644394321738</v>
      </c>
    </row>
    <row r="297" spans="1:11" x14ac:dyDescent="0.4">
      <c r="A297" s="96">
        <v>45200</v>
      </c>
      <c r="B297" s="88">
        <v>358.540009</v>
      </c>
      <c r="C297" s="88">
        <v>373.73998999999998</v>
      </c>
      <c r="D297" s="88">
        <v>342.35000600000001</v>
      </c>
      <c r="E297" s="88">
        <v>350.86999500000002</v>
      </c>
      <c r="F297" s="41">
        <f t="shared" si="8"/>
        <v>-2.0654797295901868E-2</v>
      </c>
      <c r="G297" s="88">
        <v>59.389999000000003</v>
      </c>
      <c r="H297" s="88">
        <v>64.260002</v>
      </c>
      <c r="I297" s="88">
        <v>53.720001000000003</v>
      </c>
      <c r="J297" s="88">
        <v>56.419998</v>
      </c>
      <c r="K297" s="41">
        <f t="shared" si="9"/>
        <v>-4.9368156676264756E-2</v>
      </c>
    </row>
    <row r="298" spans="1:11" x14ac:dyDescent="0.4">
      <c r="A298" s="96">
        <v>45231</v>
      </c>
      <c r="B298" s="88">
        <v>351.72000100000002</v>
      </c>
      <c r="C298" s="88">
        <v>394.14001500000001</v>
      </c>
      <c r="D298" s="88">
        <v>351.61999500000002</v>
      </c>
      <c r="E298" s="88">
        <v>388.82998700000002</v>
      </c>
      <c r="F298" s="41">
        <f t="shared" si="8"/>
        <v>0.10818819659971209</v>
      </c>
      <c r="G298" s="88">
        <v>56.66</v>
      </c>
      <c r="H298" s="88">
        <v>70.629997000000003</v>
      </c>
      <c r="I298" s="88">
        <v>56.639999000000003</v>
      </c>
      <c r="J298" s="88">
        <v>68.709998999999996</v>
      </c>
      <c r="K298" s="41">
        <f t="shared" si="9"/>
        <v>0.21783058198619568</v>
      </c>
    </row>
    <row r="299" spans="1:11" x14ac:dyDescent="0.4">
      <c r="A299" s="96">
        <v>45261</v>
      </c>
      <c r="B299" s="88">
        <v>387.75</v>
      </c>
      <c r="C299" s="88">
        <v>412.92001299999998</v>
      </c>
      <c r="D299" s="88">
        <v>382.66000400000001</v>
      </c>
      <c r="E299" s="88">
        <v>409.51998900000001</v>
      </c>
      <c r="F299" s="41">
        <f t="shared" si="8"/>
        <v>5.321092171833957E-2</v>
      </c>
      <c r="G299" s="88">
        <v>68.300003000000004</v>
      </c>
      <c r="H299" s="88">
        <v>77.290001000000004</v>
      </c>
      <c r="I299" s="88">
        <v>66.489998</v>
      </c>
      <c r="J299" s="88">
        <v>76</v>
      </c>
      <c r="K299" s="41">
        <f t="shared" si="9"/>
        <v>0.10609810953424703</v>
      </c>
    </row>
    <row r="300" spans="1:11" x14ac:dyDescent="0.4">
      <c r="A300" s="96">
        <v>45292</v>
      </c>
      <c r="B300" s="88">
        <v>405.83999599999999</v>
      </c>
      <c r="C300" s="88">
        <v>429.85</v>
      </c>
      <c r="D300" s="88">
        <v>395.34</v>
      </c>
      <c r="E300" s="88">
        <v>416.97</v>
      </c>
      <c r="F300" s="41">
        <f t="shared" si="8"/>
        <v>1.8192057042666156E-2</v>
      </c>
      <c r="G300" s="88">
        <v>74.64</v>
      </c>
      <c r="H300" s="88">
        <v>83.25</v>
      </c>
      <c r="I300" s="88">
        <v>70.739998</v>
      </c>
      <c r="J300" s="88">
        <v>78.2</v>
      </c>
      <c r="K300" s="41">
        <f t="shared" si="9"/>
        <v>2.894736842105267E-2</v>
      </c>
    </row>
    <row r="301" spans="1:11" x14ac:dyDescent="0.4">
      <c r="A301" s="96">
        <v>45323</v>
      </c>
      <c r="B301" s="88">
        <v>418.79</v>
      </c>
      <c r="C301" s="88">
        <v>440.59</v>
      </c>
      <c r="D301" s="88">
        <v>417.81</v>
      </c>
      <c r="E301" s="88">
        <v>439</v>
      </c>
      <c r="F301" s="41">
        <f t="shared" si="8"/>
        <v>5.2833537184929301E-2</v>
      </c>
      <c r="G301" s="88">
        <v>78.84</v>
      </c>
      <c r="H301" s="88">
        <v>86.73</v>
      </c>
      <c r="I301" s="88">
        <v>78.48</v>
      </c>
      <c r="J301" s="88">
        <v>86.04</v>
      </c>
      <c r="K301" s="41">
        <f t="shared" si="9"/>
        <v>0.10025575447570337</v>
      </c>
    </row>
    <row r="302" spans="1:11" x14ac:dyDescent="0.4">
      <c r="A302" s="96">
        <v>45352</v>
      </c>
      <c r="B302" s="88">
        <v>439.9</v>
      </c>
      <c r="C302" s="88">
        <v>449.34</v>
      </c>
      <c r="D302" s="88">
        <v>432.74</v>
      </c>
      <c r="E302" s="88">
        <v>444.01</v>
      </c>
      <c r="F302" s="41">
        <f t="shared" si="8"/>
        <v>1.1412300683371278E-2</v>
      </c>
      <c r="G302" s="88">
        <v>86.34</v>
      </c>
      <c r="H302" s="88">
        <v>89.74</v>
      </c>
      <c r="I302" s="88">
        <v>83.2</v>
      </c>
      <c r="J302" s="88">
        <v>87.48</v>
      </c>
      <c r="K302" s="41">
        <f t="shared" si="9"/>
        <v>1.6736401673640138E-2</v>
      </c>
    </row>
    <row r="303" spans="1:11" x14ac:dyDescent="0.4">
      <c r="A303" s="96">
        <v>45383</v>
      </c>
      <c r="B303" s="88">
        <v>444.97</v>
      </c>
      <c r="C303" s="88">
        <v>447.53</v>
      </c>
      <c r="D303" s="88">
        <v>413.07</v>
      </c>
      <c r="E303" s="88">
        <v>424.59</v>
      </c>
      <c r="F303" s="41">
        <f t="shared" si="8"/>
        <v>-4.3737753654197013E-2</v>
      </c>
      <c r="G303" s="88">
        <v>87.85</v>
      </c>
      <c r="H303" s="88">
        <v>88.89</v>
      </c>
      <c r="I303" s="88">
        <v>75.28</v>
      </c>
      <c r="J303" s="88">
        <v>79.319999999999993</v>
      </c>
      <c r="K303" s="41">
        <f t="shared" si="9"/>
        <v>-9.3278463648834145E-2</v>
      </c>
    </row>
    <row r="304" spans="1:11" x14ac:dyDescent="0.4">
      <c r="A304" s="96">
        <v>45413</v>
      </c>
      <c r="B304" s="88">
        <v>423.15</v>
      </c>
      <c r="C304" s="88">
        <v>460.58</v>
      </c>
      <c r="D304" s="88">
        <v>420.63</v>
      </c>
      <c r="E304" s="88">
        <v>451.55</v>
      </c>
      <c r="F304" s="41">
        <f t="shared" si="8"/>
        <v>6.349654961256751E-2</v>
      </c>
      <c r="G304" s="88">
        <v>78.75</v>
      </c>
      <c r="H304" s="88">
        <v>92.81</v>
      </c>
      <c r="I304" s="88">
        <v>77.790000000000006</v>
      </c>
      <c r="J304" s="88">
        <v>89.12</v>
      </c>
      <c r="K304" s="41">
        <f t="shared" si="9"/>
        <v>0.1235501765002523</v>
      </c>
    </row>
  </sheetData>
  <sheetProtection password="ECAD" sheet="1" objects="1" scenarios="1" formatColumns="0" formatRows="0"/>
  <mergeCells count="2">
    <mergeCell ref="B1:F1"/>
    <mergeCell ref="G1:K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13"/>
  <sheetViews>
    <sheetView zoomScale="85" zoomScaleNormal="85" workbookViewId="0">
      <pane xSplit="5" ySplit="11" topLeftCell="F12" activePane="bottomRight" state="frozen"/>
      <selection pane="topRight" activeCell="F1" sqref="F1"/>
      <selection pane="bottomLeft" activeCell="A8" sqref="A8"/>
      <selection pane="bottomRight" activeCell="F1" sqref="F1:G1"/>
    </sheetView>
  </sheetViews>
  <sheetFormatPr defaultRowHeight="17" x14ac:dyDescent="0.4"/>
  <cols>
    <col min="1" max="1" width="10.81640625" style="87" bestFit="1" customWidth="1"/>
    <col min="2" max="5" width="8.26953125" style="88" bestFit="1" customWidth="1"/>
    <col min="6" max="6" width="9.81640625" style="78" bestFit="1" customWidth="1"/>
    <col min="7" max="7" width="13.6328125" style="78" bestFit="1" customWidth="1"/>
    <col min="8" max="8" width="9.81640625" style="78" bestFit="1" customWidth="1"/>
    <col min="9" max="9" width="13.6328125" style="78" bestFit="1" customWidth="1"/>
    <col min="10" max="10" width="9.81640625" style="78" bestFit="1" customWidth="1"/>
    <col min="11" max="11" width="13.6328125" style="78" bestFit="1" customWidth="1"/>
    <col min="12" max="12" width="9.81640625" style="78" bestFit="1" customWidth="1"/>
    <col min="13" max="13" width="13.6328125" style="78" customWidth="1"/>
    <col min="14" max="14" width="9.81640625" style="78" bestFit="1" customWidth="1"/>
    <col min="15" max="15" width="13.6328125" style="78" customWidth="1"/>
    <col min="16" max="16" width="9.81640625" style="78" bestFit="1" customWidth="1"/>
    <col min="17" max="17" width="13.6328125" style="78" bestFit="1" customWidth="1"/>
    <col min="18" max="18" width="9.81640625" style="78" bestFit="1" customWidth="1"/>
    <col min="19" max="19" width="13.6328125" style="78" customWidth="1"/>
    <col min="20" max="16384" width="8.7265625" style="1"/>
  </cols>
  <sheetData>
    <row r="1" spans="1:19" x14ac:dyDescent="0.4">
      <c r="A1" s="174" t="s">
        <v>324</v>
      </c>
      <c r="B1" s="175"/>
      <c r="C1" s="175"/>
      <c r="D1" s="175"/>
      <c r="E1" s="176"/>
      <c r="F1" s="177">
        <v>1000</v>
      </c>
      <c r="G1" s="178"/>
      <c r="H1" s="177">
        <v>1000</v>
      </c>
      <c r="I1" s="178"/>
      <c r="J1" s="177">
        <v>1000</v>
      </c>
      <c r="K1" s="178"/>
      <c r="L1" s="177">
        <v>1000</v>
      </c>
      <c r="M1" s="178"/>
      <c r="N1" s="177">
        <v>300000</v>
      </c>
      <c r="O1" s="178"/>
      <c r="P1" s="177">
        <v>12000</v>
      </c>
      <c r="Q1" s="178"/>
      <c r="R1" s="177">
        <v>12000</v>
      </c>
      <c r="S1" s="178"/>
    </row>
    <row r="2" spans="1:19" x14ac:dyDescent="0.4">
      <c r="A2" s="174" t="s">
        <v>327</v>
      </c>
      <c r="B2" s="175"/>
      <c r="C2" s="175"/>
      <c r="D2" s="175"/>
      <c r="E2" s="176"/>
      <c r="F2" s="179">
        <f>SUM(F12:F312)</f>
        <v>4602</v>
      </c>
      <c r="G2" s="181"/>
      <c r="H2" s="179">
        <f>SUM(H12:H312)</f>
        <v>4589</v>
      </c>
      <c r="I2" s="181"/>
      <c r="J2" s="179">
        <f>SUM(J12:J312)</f>
        <v>4352</v>
      </c>
      <c r="K2" s="181"/>
      <c r="L2" s="179">
        <f>SUM(L12:L312)</f>
        <v>4891</v>
      </c>
      <c r="M2" s="181"/>
      <c r="N2" s="179">
        <f>SUM(N12:N312)</f>
        <v>5206</v>
      </c>
      <c r="O2" s="181"/>
      <c r="P2" s="179">
        <f>SUM(P12:P312)</f>
        <v>4052</v>
      </c>
      <c r="Q2" s="181"/>
      <c r="R2" s="179">
        <f>SUM(R12:R312)</f>
        <v>6324</v>
      </c>
      <c r="S2" s="181"/>
    </row>
    <row r="3" spans="1:19" x14ac:dyDescent="0.4">
      <c r="A3" s="174" t="s">
        <v>310</v>
      </c>
      <c r="B3" s="175"/>
      <c r="C3" s="175"/>
      <c r="D3" s="175"/>
      <c r="E3" s="176"/>
      <c r="F3" s="179">
        <f>SUM(G12:G312)</f>
        <v>-281842.3247060001</v>
      </c>
      <c r="G3" s="180"/>
      <c r="H3" s="179">
        <f>SUM(I12:I312)</f>
        <v>-281588.70189500012</v>
      </c>
      <c r="I3" s="180"/>
      <c r="J3" s="179">
        <f>SUM(K12:K312)</f>
        <v>-281835.48252299998</v>
      </c>
      <c r="K3" s="180"/>
      <c r="L3" s="179">
        <f>SUM(M12:M312)</f>
        <v>-282626.40792099998</v>
      </c>
      <c r="M3" s="180"/>
      <c r="N3" s="179">
        <f>SUM(O12:O312)</f>
        <v>-299995.75</v>
      </c>
      <c r="O3" s="180"/>
      <c r="P3" s="179">
        <f>SUM(Q12:Q312)</f>
        <v>-310337.45501200005</v>
      </c>
      <c r="Q3" s="180"/>
      <c r="R3" s="179">
        <f>SUM(S12:S312)</f>
        <v>-316343.29514099995</v>
      </c>
      <c r="S3" s="180"/>
    </row>
    <row r="4" spans="1:19" x14ac:dyDescent="0.4">
      <c r="A4" s="174" t="s">
        <v>311</v>
      </c>
      <c r="B4" s="175"/>
      <c r="C4" s="175"/>
      <c r="D4" s="175"/>
      <c r="E4" s="176"/>
      <c r="F4" s="179">
        <f>F3/F2</f>
        <v>-61.243443004345956</v>
      </c>
      <c r="G4" s="180"/>
      <c r="H4" s="179">
        <f>H3/H2</f>
        <v>-61.361669621922012</v>
      </c>
      <c r="I4" s="180"/>
      <c r="J4" s="179">
        <f>J3/J2</f>
        <v>-64.759991388556983</v>
      </c>
      <c r="K4" s="180"/>
      <c r="L4" s="179">
        <f>L3/L2</f>
        <v>-57.78499446350439</v>
      </c>
      <c r="M4" s="180"/>
      <c r="N4" s="179">
        <f>N3/N2</f>
        <v>-57.625</v>
      </c>
      <c r="O4" s="180"/>
      <c r="P4" s="179">
        <f>P3/P2</f>
        <v>-76.588710516288259</v>
      </c>
      <c r="Q4" s="180"/>
      <c r="R4" s="179">
        <f>R3/R2</f>
        <v>-50.02265894070208</v>
      </c>
      <c r="S4" s="180"/>
    </row>
    <row r="5" spans="1:19" x14ac:dyDescent="0.4">
      <c r="A5" s="85" t="s">
        <v>328</v>
      </c>
      <c r="B5" s="86">
        <f>E312</f>
        <v>451.55</v>
      </c>
      <c r="C5" s="84"/>
      <c r="D5" s="84"/>
      <c r="E5" s="83" t="s">
        <v>312</v>
      </c>
      <c r="F5" s="182">
        <f>F2*$B$5</f>
        <v>2078033.1</v>
      </c>
      <c r="G5" s="183"/>
      <c r="H5" s="182">
        <f>H2*$B$5</f>
        <v>2072162.95</v>
      </c>
      <c r="I5" s="183"/>
      <c r="J5" s="182">
        <f>J2*$B$5</f>
        <v>1965145.6</v>
      </c>
      <c r="K5" s="183"/>
      <c r="L5" s="182">
        <f>L2*$B$5</f>
        <v>2208531.0500000003</v>
      </c>
      <c r="M5" s="183"/>
      <c r="N5" s="182">
        <f>N2*$B$5</f>
        <v>2350769.3000000003</v>
      </c>
      <c r="O5" s="183"/>
      <c r="P5" s="182">
        <f>P2*$B$5</f>
        <v>1829680.6</v>
      </c>
      <c r="Q5" s="183"/>
      <c r="R5" s="182">
        <f>R2*$B$5</f>
        <v>2855602.2</v>
      </c>
      <c r="S5" s="183"/>
    </row>
    <row r="6" spans="1:19" x14ac:dyDescent="0.4">
      <c r="A6" s="174" t="s">
        <v>313</v>
      </c>
      <c r="B6" s="175"/>
      <c r="C6" s="175"/>
      <c r="D6" s="175"/>
      <c r="E6" s="176"/>
      <c r="F6" s="179">
        <f>F5+F3</f>
        <v>1796190.7752940001</v>
      </c>
      <c r="G6" s="180"/>
      <c r="H6" s="179">
        <f>H5+H3</f>
        <v>1790574.2481049998</v>
      </c>
      <c r="I6" s="180"/>
      <c r="J6" s="179">
        <f>J5+J3</f>
        <v>1683310.1174770002</v>
      </c>
      <c r="K6" s="180"/>
      <c r="L6" s="179">
        <f>L5+L3</f>
        <v>1925904.6420790004</v>
      </c>
      <c r="M6" s="180"/>
      <c r="N6" s="179">
        <f>N5+N3</f>
        <v>2050773.5500000003</v>
      </c>
      <c r="O6" s="180"/>
      <c r="P6" s="179">
        <f>P5+P3</f>
        <v>1519343.1449879999</v>
      </c>
      <c r="Q6" s="180"/>
      <c r="R6" s="179">
        <f>R5+R3</f>
        <v>2539258.9048590004</v>
      </c>
      <c r="S6" s="180"/>
    </row>
    <row r="7" spans="1:19" x14ac:dyDescent="0.4">
      <c r="A7" s="174" t="s">
        <v>314</v>
      </c>
      <c r="B7" s="175"/>
      <c r="C7" s="175"/>
      <c r="D7" s="175"/>
      <c r="E7" s="176"/>
      <c r="F7" s="184">
        <f>F6/-F3</f>
        <v>6.3730342033180127</v>
      </c>
      <c r="G7" s="185"/>
      <c r="H7" s="184">
        <f>H6/-H3</f>
        <v>6.3588284475016899</v>
      </c>
      <c r="I7" s="185"/>
      <c r="J7" s="184">
        <f>J6/-J3</f>
        <v>5.9726692409626914</v>
      </c>
      <c r="K7" s="185"/>
      <c r="L7" s="184">
        <f>L6/-L3</f>
        <v>6.8143124212841819</v>
      </c>
      <c r="M7" s="185"/>
      <c r="N7" s="184">
        <f>N6/-N3</f>
        <v>6.8360086767895885</v>
      </c>
      <c r="O7" s="185"/>
      <c r="P7" s="184">
        <f>P6/-P3</f>
        <v>4.8957775494074678</v>
      </c>
      <c r="Q7" s="185"/>
      <c r="R7" s="184">
        <f>R6/-R3</f>
        <v>8.0269091959960974</v>
      </c>
      <c r="S7" s="185"/>
    </row>
    <row r="8" spans="1:19" x14ac:dyDescent="0.4">
      <c r="A8" s="174" t="s">
        <v>408</v>
      </c>
      <c r="B8" s="175"/>
      <c r="C8" s="175"/>
      <c r="D8" s="175"/>
      <c r="E8" s="176"/>
      <c r="F8" s="186">
        <f>(1+F7)^(1/25)-1</f>
        <v>8.3193012888421958E-2</v>
      </c>
      <c r="G8" s="187"/>
      <c r="H8" s="186">
        <f>(1+H7)^(1/25)-1</f>
        <v>8.310945529861824E-2</v>
      </c>
      <c r="I8" s="187"/>
      <c r="J8" s="186">
        <f>(1+J7)^(1/25)-1</f>
        <v>8.0776673183897252E-2</v>
      </c>
      <c r="K8" s="187"/>
      <c r="L8" s="186">
        <f>(1+L7)^(1/25)-1</f>
        <v>8.5714482105125667E-2</v>
      </c>
      <c r="M8" s="187"/>
      <c r="N8" s="186">
        <f>(1+N7)^(1/25)-1</f>
        <v>8.5834900133813452E-2</v>
      </c>
      <c r="O8" s="187"/>
      <c r="P8" s="186">
        <f>(1+P7)^(1/25)-1</f>
        <v>7.3548435982280225E-2</v>
      </c>
      <c r="Q8" s="187"/>
      <c r="R8" s="186">
        <f>(1+R7)^(1/25)-1</f>
        <v>9.1997295951071756E-2</v>
      </c>
      <c r="S8" s="187"/>
    </row>
    <row r="9" spans="1:19" x14ac:dyDescent="0.4">
      <c r="A9" s="174" t="s">
        <v>315</v>
      </c>
      <c r="B9" s="175"/>
      <c r="C9" s="175"/>
      <c r="D9" s="175"/>
      <c r="E9" s="176"/>
      <c r="F9" s="186">
        <f>XIRR(G12:G313,$A12:$A313)</f>
        <v>0.13441799283027653</v>
      </c>
      <c r="G9" s="187"/>
      <c r="H9" s="186">
        <f>XIRR(I12:I313,$A12:$A313)</f>
        <v>0.13432731032371523</v>
      </c>
      <c r="I9" s="187"/>
      <c r="J9" s="186">
        <f>XIRR(K12:K313,$A12:$A313)</f>
        <v>0.13108502030372618</v>
      </c>
      <c r="K9" s="187"/>
      <c r="L9" s="186">
        <f>XIRR(M12:M313,$A12:$A313)</f>
        <v>0.13809345364570622</v>
      </c>
      <c r="M9" s="187"/>
      <c r="N9" s="186">
        <f>XIRR(O12:O313,$A12:$A313)</f>
        <v>8.5776147246360762E-2</v>
      </c>
      <c r="O9" s="187"/>
      <c r="P9" s="186">
        <f t="shared" ref="P9" si="0">XIRR(Q12:Q313,$A12:$A313)</f>
        <v>0.1205374538898468</v>
      </c>
      <c r="Q9" s="187"/>
      <c r="R9" s="186">
        <f t="shared" ref="R9" si="1">XIRR(S12:S313,$A12:$A313)</f>
        <v>0.14426977038383487</v>
      </c>
      <c r="S9" s="187"/>
    </row>
    <row r="10" spans="1:19" s="2" customFormat="1" x14ac:dyDescent="0.4">
      <c r="A10" s="188" t="s">
        <v>296</v>
      </c>
      <c r="B10" s="190" t="s">
        <v>297</v>
      </c>
      <c r="C10" s="190" t="s">
        <v>298</v>
      </c>
      <c r="D10" s="190" t="s">
        <v>299</v>
      </c>
      <c r="E10" s="190" t="s">
        <v>307</v>
      </c>
      <c r="F10" s="171" t="s">
        <v>320</v>
      </c>
      <c r="G10" s="173"/>
      <c r="H10" s="171" t="s">
        <v>321</v>
      </c>
      <c r="I10" s="173"/>
      <c r="J10" s="171" t="s">
        <v>329</v>
      </c>
      <c r="K10" s="173"/>
      <c r="L10" s="171" t="s">
        <v>330</v>
      </c>
      <c r="M10" s="173"/>
      <c r="N10" s="171" t="s">
        <v>322</v>
      </c>
      <c r="O10" s="173"/>
      <c r="P10" s="171" t="s">
        <v>331</v>
      </c>
      <c r="Q10" s="173"/>
      <c r="R10" s="171" t="s">
        <v>332</v>
      </c>
      <c r="S10" s="173"/>
    </row>
    <row r="11" spans="1:19" s="2" customFormat="1" x14ac:dyDescent="0.4">
      <c r="A11" s="189"/>
      <c r="B11" s="191"/>
      <c r="C11" s="191"/>
      <c r="D11" s="191"/>
      <c r="E11" s="191"/>
      <c r="F11" s="27" t="s">
        <v>325</v>
      </c>
      <c r="G11" s="27" t="s">
        <v>326</v>
      </c>
      <c r="H11" s="27" t="s">
        <v>325</v>
      </c>
      <c r="I11" s="27" t="s">
        <v>326</v>
      </c>
      <c r="J11" s="27" t="s">
        <v>325</v>
      </c>
      <c r="K11" s="27" t="s">
        <v>326</v>
      </c>
      <c r="L11" s="27" t="s">
        <v>325</v>
      </c>
      <c r="M11" s="27" t="s">
        <v>326</v>
      </c>
      <c r="N11" s="27" t="s">
        <v>325</v>
      </c>
      <c r="O11" s="27" t="s">
        <v>326</v>
      </c>
      <c r="P11" s="27" t="s">
        <v>325</v>
      </c>
      <c r="Q11" s="27" t="s">
        <v>326</v>
      </c>
      <c r="R11" s="27" t="s">
        <v>325</v>
      </c>
      <c r="S11" s="27" t="s">
        <v>326</v>
      </c>
    </row>
    <row r="12" spans="1:19" x14ac:dyDescent="0.4">
      <c r="A12" s="87" t="s">
        <v>0</v>
      </c>
      <c r="B12" s="88">
        <v>51.9375</v>
      </c>
      <c r="C12" s="88">
        <v>59.9375</v>
      </c>
      <c r="D12" s="88">
        <v>49.570312999999999</v>
      </c>
      <c r="E12" s="88">
        <v>57.625</v>
      </c>
      <c r="F12" s="89">
        <f>INT(F$1/$B12)</f>
        <v>19</v>
      </c>
      <c r="G12" s="89">
        <f t="shared" ref="G12:G75" si="2">-F12*B12</f>
        <v>-986.8125</v>
      </c>
      <c r="H12" s="89">
        <f>INT(H$1/$E12)</f>
        <v>17</v>
      </c>
      <c r="I12" s="89">
        <f>-H12*$E12</f>
        <v>-979.625</v>
      </c>
      <c r="J12" s="89">
        <f t="shared" ref="J12:J75" si="3">INT(J$1/$C12)</f>
        <v>16</v>
      </c>
      <c r="K12" s="89">
        <f t="shared" ref="K12:K75" si="4">-J12*$C12</f>
        <v>-959</v>
      </c>
      <c r="L12" s="89">
        <f>INT(L$1/$D12)</f>
        <v>20</v>
      </c>
      <c r="M12" s="89">
        <f>-L12*$D12</f>
        <v>-991.40625999999997</v>
      </c>
      <c r="N12" s="89">
        <f>INT($N$1/E12)</f>
        <v>5206</v>
      </c>
      <c r="O12" s="89">
        <f>-N12*E12</f>
        <v>-299995.75</v>
      </c>
      <c r="P12" s="89">
        <f>INT(P$1/MAX(C12:C23))</f>
        <v>99</v>
      </c>
      <c r="Q12" s="89">
        <f>P12*-MAX(C12:C23)</f>
        <v>-11929.5</v>
      </c>
      <c r="R12" s="89">
        <f>INT(R$1/MIN(D12:D23))</f>
        <v>242</v>
      </c>
      <c r="S12" s="89">
        <f t="shared" ref="S12" si="5">R12*-MIN(D1:D12)</f>
        <v>-11996.015745999999</v>
      </c>
    </row>
    <row r="13" spans="1:19" x14ac:dyDescent="0.4">
      <c r="A13" s="87" t="s">
        <v>1</v>
      </c>
      <c r="B13" s="88">
        <v>57.8125</v>
      </c>
      <c r="C13" s="88">
        <v>61.71875</v>
      </c>
      <c r="D13" s="88">
        <v>55.78125</v>
      </c>
      <c r="E13" s="88">
        <v>56.59375</v>
      </c>
      <c r="F13" s="89">
        <f t="shared" ref="F13:F76" si="6">INT(F$1/$B13)</f>
        <v>17</v>
      </c>
      <c r="G13" s="89">
        <f t="shared" si="2"/>
        <v>-982.8125</v>
      </c>
      <c r="H13" s="89">
        <f t="shared" ref="H13:H76" si="7">INT(H$1/$E13)</f>
        <v>17</v>
      </c>
      <c r="I13" s="89">
        <f t="shared" ref="I13:I76" si="8">-H13*$E13</f>
        <v>-962.09375</v>
      </c>
      <c r="J13" s="89">
        <f t="shared" si="3"/>
        <v>16</v>
      </c>
      <c r="K13" s="89">
        <f t="shared" si="4"/>
        <v>-987.5</v>
      </c>
      <c r="L13" s="89">
        <f t="shared" ref="L13:L76" si="9">INT(L$1/$D13)</f>
        <v>17</v>
      </c>
      <c r="M13" s="89">
        <f t="shared" ref="M13:M76" si="10">-L13*$D13</f>
        <v>-948.28125</v>
      </c>
      <c r="N13" s="89"/>
      <c r="O13" s="89"/>
      <c r="P13" s="89"/>
      <c r="Q13" s="89"/>
      <c r="R13" s="89"/>
      <c r="S13" s="89"/>
    </row>
    <row r="14" spans="1:19" x14ac:dyDescent="0.4">
      <c r="A14" s="87" t="s">
        <v>2</v>
      </c>
      <c r="B14" s="88">
        <v>56.6875</v>
      </c>
      <c r="C14" s="88">
        <v>61.75</v>
      </c>
      <c r="D14" s="88">
        <v>52.9375</v>
      </c>
      <c r="E14" s="88">
        <v>59.6875</v>
      </c>
      <c r="F14" s="89">
        <f t="shared" si="6"/>
        <v>17</v>
      </c>
      <c r="G14" s="89">
        <f t="shared" si="2"/>
        <v>-963.6875</v>
      </c>
      <c r="H14" s="89">
        <f t="shared" si="7"/>
        <v>16</v>
      </c>
      <c r="I14" s="89">
        <f t="shared" si="8"/>
        <v>-955</v>
      </c>
      <c r="J14" s="89">
        <f t="shared" si="3"/>
        <v>16</v>
      </c>
      <c r="K14" s="89">
        <f t="shared" si="4"/>
        <v>-988</v>
      </c>
      <c r="L14" s="89">
        <f t="shared" si="9"/>
        <v>18</v>
      </c>
      <c r="M14" s="89">
        <f t="shared" si="10"/>
        <v>-952.875</v>
      </c>
      <c r="N14" s="89"/>
      <c r="O14" s="89"/>
      <c r="P14" s="89"/>
      <c r="Q14" s="89"/>
      <c r="R14" s="89"/>
      <c r="S14" s="89"/>
    </row>
    <row r="15" spans="1:19" x14ac:dyDescent="0.4">
      <c r="A15" s="87" t="s">
        <v>3</v>
      </c>
      <c r="B15" s="88">
        <v>60.0625</v>
      </c>
      <c r="C15" s="88">
        <v>63.75</v>
      </c>
      <c r="D15" s="88">
        <v>58.625</v>
      </c>
      <c r="E15" s="88">
        <v>60.1875</v>
      </c>
      <c r="F15" s="89">
        <f t="shared" si="6"/>
        <v>16</v>
      </c>
      <c r="G15" s="89">
        <f t="shared" si="2"/>
        <v>-961</v>
      </c>
      <c r="H15" s="89">
        <f t="shared" si="7"/>
        <v>16</v>
      </c>
      <c r="I15" s="89">
        <f t="shared" si="8"/>
        <v>-963</v>
      </c>
      <c r="J15" s="89">
        <f t="shared" si="3"/>
        <v>15</v>
      </c>
      <c r="K15" s="89">
        <f t="shared" si="4"/>
        <v>-956.25</v>
      </c>
      <c r="L15" s="89">
        <f t="shared" si="9"/>
        <v>17</v>
      </c>
      <c r="M15" s="89">
        <f t="shared" si="10"/>
        <v>-996.625</v>
      </c>
      <c r="N15" s="89"/>
      <c r="O15" s="89"/>
      <c r="P15" s="89"/>
      <c r="Q15" s="89"/>
      <c r="R15" s="89"/>
      <c r="S15" s="89"/>
    </row>
    <row r="16" spans="1:19" x14ac:dyDescent="0.4">
      <c r="A16" s="87" t="s">
        <v>4</v>
      </c>
      <c r="B16" s="88">
        <v>59.375</v>
      </c>
      <c r="C16" s="88">
        <v>66.25</v>
      </c>
      <c r="D16" s="88">
        <v>57.414062999999999</v>
      </c>
      <c r="E16" s="88">
        <v>65.75</v>
      </c>
      <c r="F16" s="89">
        <f t="shared" si="6"/>
        <v>16</v>
      </c>
      <c r="G16" s="89">
        <f t="shared" si="2"/>
        <v>-950</v>
      </c>
      <c r="H16" s="89">
        <f t="shared" si="7"/>
        <v>15</v>
      </c>
      <c r="I16" s="89">
        <f t="shared" si="8"/>
        <v>-986.25</v>
      </c>
      <c r="J16" s="89">
        <f t="shared" si="3"/>
        <v>15</v>
      </c>
      <c r="K16" s="89">
        <f t="shared" si="4"/>
        <v>-993.75</v>
      </c>
      <c r="L16" s="89">
        <f t="shared" si="9"/>
        <v>17</v>
      </c>
      <c r="M16" s="89">
        <f t="shared" si="10"/>
        <v>-976.03907099999992</v>
      </c>
      <c r="N16" s="89"/>
      <c r="O16" s="89"/>
      <c r="P16" s="89"/>
      <c r="Q16" s="89"/>
      <c r="R16" s="89"/>
      <c r="S16" s="89"/>
    </row>
    <row r="17" spans="1:19" x14ac:dyDescent="0.4">
      <c r="A17" s="87" t="s">
        <v>5</v>
      </c>
      <c r="B17" s="88">
        <v>65.75</v>
      </c>
      <c r="C17" s="88">
        <v>78.78125</v>
      </c>
      <c r="D17" s="88">
        <v>65.195312999999999</v>
      </c>
      <c r="E17" s="88">
        <v>73.5</v>
      </c>
      <c r="F17" s="89">
        <f t="shared" si="6"/>
        <v>15</v>
      </c>
      <c r="G17" s="89">
        <f t="shared" si="2"/>
        <v>-986.25</v>
      </c>
      <c r="H17" s="89">
        <f t="shared" si="7"/>
        <v>13</v>
      </c>
      <c r="I17" s="89">
        <f t="shared" si="8"/>
        <v>-955.5</v>
      </c>
      <c r="J17" s="89">
        <f t="shared" si="3"/>
        <v>12</v>
      </c>
      <c r="K17" s="89">
        <f t="shared" si="4"/>
        <v>-945.375</v>
      </c>
      <c r="L17" s="89">
        <f t="shared" si="9"/>
        <v>15</v>
      </c>
      <c r="M17" s="89">
        <f t="shared" si="10"/>
        <v>-977.92969500000004</v>
      </c>
      <c r="N17" s="89"/>
      <c r="O17" s="89"/>
      <c r="P17" s="89"/>
      <c r="Q17" s="89"/>
      <c r="R17" s="89"/>
      <c r="S17" s="89"/>
    </row>
    <row r="18" spans="1:19" x14ac:dyDescent="0.4">
      <c r="A18" s="87" t="s">
        <v>6</v>
      </c>
      <c r="B18" s="88">
        <v>74.3125</v>
      </c>
      <c r="C18" s="88">
        <v>93.75</v>
      </c>
      <c r="D18" s="88">
        <v>73.75</v>
      </c>
      <c r="E18" s="88">
        <v>91.375</v>
      </c>
      <c r="F18" s="89">
        <f t="shared" si="6"/>
        <v>13</v>
      </c>
      <c r="G18" s="89">
        <f t="shared" si="2"/>
        <v>-966.0625</v>
      </c>
      <c r="H18" s="89">
        <f t="shared" si="7"/>
        <v>10</v>
      </c>
      <c r="I18" s="89">
        <f t="shared" si="8"/>
        <v>-913.75</v>
      </c>
      <c r="J18" s="89">
        <f t="shared" si="3"/>
        <v>10</v>
      </c>
      <c r="K18" s="89">
        <f t="shared" si="4"/>
        <v>-937.5</v>
      </c>
      <c r="L18" s="89">
        <f t="shared" si="9"/>
        <v>13</v>
      </c>
      <c r="M18" s="89">
        <f t="shared" si="10"/>
        <v>-958.75</v>
      </c>
      <c r="N18" s="89"/>
      <c r="O18" s="89"/>
      <c r="P18" s="89"/>
      <c r="Q18" s="89"/>
      <c r="R18" s="89"/>
      <c r="S18" s="89"/>
    </row>
    <row r="19" spans="1:19" hidden="1" x14ac:dyDescent="0.4">
      <c r="A19" s="87" t="s">
        <v>7</v>
      </c>
      <c r="B19" s="88">
        <v>96.1875</v>
      </c>
      <c r="C19" s="88">
        <v>97.625</v>
      </c>
      <c r="D19" s="88">
        <v>79.75</v>
      </c>
      <c r="E19" s="88">
        <v>89.6875</v>
      </c>
      <c r="F19" s="89">
        <f t="shared" si="6"/>
        <v>10</v>
      </c>
      <c r="G19" s="89">
        <f t="shared" si="2"/>
        <v>-961.875</v>
      </c>
      <c r="H19" s="89">
        <f t="shared" si="7"/>
        <v>11</v>
      </c>
      <c r="I19" s="89">
        <f t="shared" si="8"/>
        <v>-986.5625</v>
      </c>
      <c r="J19" s="89">
        <f t="shared" si="3"/>
        <v>10</v>
      </c>
      <c r="K19" s="89">
        <f t="shared" si="4"/>
        <v>-976.25</v>
      </c>
      <c r="L19" s="89">
        <f t="shared" si="9"/>
        <v>12</v>
      </c>
      <c r="M19" s="89">
        <f t="shared" si="10"/>
        <v>-957</v>
      </c>
      <c r="N19" s="89"/>
      <c r="O19" s="89"/>
      <c r="P19" s="89"/>
      <c r="Q19" s="89"/>
      <c r="R19" s="89"/>
      <c r="S19" s="89"/>
    </row>
    <row r="20" spans="1:19" hidden="1" x14ac:dyDescent="0.4">
      <c r="A20" s="87" t="s">
        <v>8</v>
      </c>
      <c r="B20" s="88">
        <v>89.53125</v>
      </c>
      <c r="C20" s="88">
        <v>107.5</v>
      </c>
      <c r="D20" s="88">
        <v>88.4375</v>
      </c>
      <c r="E20" s="88">
        <v>106.75</v>
      </c>
      <c r="F20" s="89">
        <f t="shared" si="6"/>
        <v>11</v>
      </c>
      <c r="G20" s="89">
        <f t="shared" si="2"/>
        <v>-984.84375</v>
      </c>
      <c r="H20" s="89">
        <f t="shared" si="7"/>
        <v>9</v>
      </c>
      <c r="I20" s="89">
        <f t="shared" si="8"/>
        <v>-960.75</v>
      </c>
      <c r="J20" s="89">
        <f t="shared" si="3"/>
        <v>9</v>
      </c>
      <c r="K20" s="89">
        <f t="shared" si="4"/>
        <v>-967.5</v>
      </c>
      <c r="L20" s="89">
        <f t="shared" si="9"/>
        <v>11</v>
      </c>
      <c r="M20" s="89">
        <f t="shared" si="10"/>
        <v>-972.8125</v>
      </c>
      <c r="N20" s="89"/>
      <c r="O20" s="89"/>
      <c r="P20" s="89"/>
      <c r="Q20" s="89"/>
      <c r="R20" s="89"/>
      <c r="S20" s="89"/>
    </row>
    <row r="21" spans="1:19" hidden="1" x14ac:dyDescent="0.4">
      <c r="A21" s="87" t="s">
        <v>9</v>
      </c>
      <c r="B21" s="88">
        <v>107.25</v>
      </c>
      <c r="C21" s="88">
        <v>120.5</v>
      </c>
      <c r="D21" s="88">
        <v>101</v>
      </c>
      <c r="E21" s="88">
        <v>109.5</v>
      </c>
      <c r="F21" s="89">
        <f t="shared" si="6"/>
        <v>9</v>
      </c>
      <c r="G21" s="89">
        <f t="shared" si="2"/>
        <v>-965.25</v>
      </c>
      <c r="H21" s="89">
        <f t="shared" si="7"/>
        <v>9</v>
      </c>
      <c r="I21" s="89">
        <f t="shared" si="8"/>
        <v>-985.5</v>
      </c>
      <c r="J21" s="89">
        <f t="shared" si="3"/>
        <v>8</v>
      </c>
      <c r="K21" s="89">
        <f t="shared" si="4"/>
        <v>-964</v>
      </c>
      <c r="L21" s="89">
        <f t="shared" si="9"/>
        <v>9</v>
      </c>
      <c r="M21" s="89">
        <f t="shared" si="10"/>
        <v>-909</v>
      </c>
      <c r="N21" s="89"/>
      <c r="O21" s="89"/>
      <c r="P21" s="89"/>
      <c r="Q21" s="89"/>
      <c r="R21" s="89"/>
      <c r="S21" s="89"/>
    </row>
    <row r="22" spans="1:19" hidden="1" x14ac:dyDescent="0.4">
      <c r="A22" s="87" t="s">
        <v>10</v>
      </c>
      <c r="B22" s="88">
        <v>107.765625</v>
      </c>
      <c r="C22" s="88">
        <v>109.125</v>
      </c>
      <c r="D22" s="88">
        <v>78</v>
      </c>
      <c r="E22" s="88">
        <v>94.75</v>
      </c>
      <c r="F22" s="89">
        <f t="shared" si="6"/>
        <v>9</v>
      </c>
      <c r="G22" s="89">
        <f t="shared" si="2"/>
        <v>-969.890625</v>
      </c>
      <c r="H22" s="89">
        <f t="shared" si="7"/>
        <v>10</v>
      </c>
      <c r="I22" s="89">
        <f t="shared" si="8"/>
        <v>-947.5</v>
      </c>
      <c r="J22" s="89">
        <f t="shared" si="3"/>
        <v>9</v>
      </c>
      <c r="K22" s="89">
        <f t="shared" si="4"/>
        <v>-982.125</v>
      </c>
      <c r="L22" s="89">
        <f t="shared" si="9"/>
        <v>12</v>
      </c>
      <c r="M22" s="89">
        <f t="shared" si="10"/>
        <v>-936</v>
      </c>
      <c r="N22" s="89"/>
      <c r="O22" s="89"/>
      <c r="P22" s="89"/>
      <c r="Q22" s="89"/>
      <c r="R22" s="89"/>
      <c r="S22" s="89"/>
    </row>
    <row r="23" spans="1:19" hidden="1" x14ac:dyDescent="0.4">
      <c r="A23" s="87" t="s">
        <v>11</v>
      </c>
      <c r="B23" s="88">
        <v>95.75</v>
      </c>
      <c r="C23" s="88">
        <v>96.875</v>
      </c>
      <c r="D23" s="88">
        <v>72.25</v>
      </c>
      <c r="E23" s="88">
        <v>83.125</v>
      </c>
      <c r="F23" s="89">
        <f t="shared" si="6"/>
        <v>10</v>
      </c>
      <c r="G23" s="89">
        <f t="shared" si="2"/>
        <v>-957.5</v>
      </c>
      <c r="H23" s="89">
        <f t="shared" si="7"/>
        <v>12</v>
      </c>
      <c r="I23" s="89">
        <f t="shared" si="8"/>
        <v>-997.5</v>
      </c>
      <c r="J23" s="89">
        <f t="shared" si="3"/>
        <v>10</v>
      </c>
      <c r="K23" s="89">
        <f t="shared" si="4"/>
        <v>-968.75</v>
      </c>
      <c r="L23" s="89">
        <f t="shared" si="9"/>
        <v>13</v>
      </c>
      <c r="M23" s="89">
        <f t="shared" si="10"/>
        <v>-939.25</v>
      </c>
      <c r="N23" s="89"/>
      <c r="O23" s="89"/>
      <c r="P23" s="89">
        <f>INT(P$1/MAX(C23:C34))</f>
        <v>115</v>
      </c>
      <c r="Q23" s="89">
        <f>P23*-MAX(C23:C34)</f>
        <v>-11904.296875</v>
      </c>
      <c r="R23" s="89">
        <f>INT(R$1/MIN(D23:D34))</f>
        <v>357</v>
      </c>
      <c r="S23" s="89">
        <f t="shared" ref="S23" si="11">R23*-MIN(D12:D23)</f>
        <v>-17696.601740999999</v>
      </c>
    </row>
    <row r="24" spans="1:19" hidden="1" x14ac:dyDescent="0.4">
      <c r="A24" s="87" t="s">
        <v>12</v>
      </c>
      <c r="B24" s="88">
        <v>85.1875</v>
      </c>
      <c r="C24" s="88">
        <v>99.71875</v>
      </c>
      <c r="D24" s="88">
        <v>82.5</v>
      </c>
      <c r="E24" s="88">
        <v>93.4375</v>
      </c>
      <c r="F24" s="89">
        <f t="shared" si="6"/>
        <v>11</v>
      </c>
      <c r="G24" s="89">
        <f t="shared" si="2"/>
        <v>-937.0625</v>
      </c>
      <c r="H24" s="89">
        <f t="shared" si="7"/>
        <v>10</v>
      </c>
      <c r="I24" s="89">
        <f t="shared" si="8"/>
        <v>-934.375</v>
      </c>
      <c r="J24" s="89">
        <f t="shared" si="3"/>
        <v>10</v>
      </c>
      <c r="K24" s="89">
        <f t="shared" si="4"/>
        <v>-997.1875</v>
      </c>
      <c r="L24" s="89">
        <f t="shared" si="9"/>
        <v>12</v>
      </c>
      <c r="M24" s="89">
        <f t="shared" si="10"/>
        <v>-990</v>
      </c>
      <c r="N24" s="89"/>
      <c r="O24" s="89"/>
      <c r="P24" s="89"/>
      <c r="Q24" s="89"/>
      <c r="R24" s="89"/>
      <c r="S24" s="89"/>
    </row>
    <row r="25" spans="1:19" hidden="1" x14ac:dyDescent="0.4">
      <c r="A25" s="87" t="s">
        <v>13</v>
      </c>
      <c r="B25" s="88">
        <v>93.5</v>
      </c>
      <c r="C25" s="88">
        <v>102.0625</v>
      </c>
      <c r="D25" s="88">
        <v>85.71875</v>
      </c>
      <c r="E25" s="88">
        <v>89.4375</v>
      </c>
      <c r="F25" s="89">
        <f t="shared" si="6"/>
        <v>10</v>
      </c>
      <c r="G25" s="89">
        <f t="shared" si="2"/>
        <v>-935</v>
      </c>
      <c r="H25" s="89">
        <f t="shared" si="7"/>
        <v>11</v>
      </c>
      <c r="I25" s="89">
        <f t="shared" si="8"/>
        <v>-983.8125</v>
      </c>
      <c r="J25" s="89">
        <f t="shared" si="3"/>
        <v>9</v>
      </c>
      <c r="K25" s="89">
        <f t="shared" si="4"/>
        <v>-918.5625</v>
      </c>
      <c r="L25" s="89">
        <f t="shared" si="9"/>
        <v>11</v>
      </c>
      <c r="M25" s="89">
        <f t="shared" si="10"/>
        <v>-942.90625</v>
      </c>
      <c r="N25" s="89"/>
      <c r="O25" s="89"/>
      <c r="P25" s="89"/>
      <c r="Q25" s="89"/>
      <c r="R25" s="89"/>
      <c r="S25" s="89"/>
    </row>
    <row r="26" spans="1:19" hidden="1" x14ac:dyDescent="0.4">
      <c r="A26" s="87" t="s">
        <v>14</v>
      </c>
      <c r="B26" s="88">
        <v>89.8125</v>
      </c>
      <c r="C26" s="88">
        <v>102</v>
      </c>
      <c r="D26" s="88">
        <v>83.3125</v>
      </c>
      <c r="E26" s="88">
        <v>101.625</v>
      </c>
      <c r="F26" s="89">
        <f t="shared" si="6"/>
        <v>11</v>
      </c>
      <c r="G26" s="89">
        <f t="shared" si="2"/>
        <v>-987.9375</v>
      </c>
      <c r="H26" s="89">
        <f t="shared" si="7"/>
        <v>9</v>
      </c>
      <c r="I26" s="89">
        <f t="shared" si="8"/>
        <v>-914.625</v>
      </c>
      <c r="J26" s="89">
        <f t="shared" si="3"/>
        <v>9</v>
      </c>
      <c r="K26" s="89">
        <f t="shared" si="4"/>
        <v>-918</v>
      </c>
      <c r="L26" s="89">
        <f t="shared" si="9"/>
        <v>12</v>
      </c>
      <c r="M26" s="89">
        <f t="shared" si="10"/>
        <v>-999.75</v>
      </c>
      <c r="N26" s="89"/>
      <c r="O26" s="89"/>
      <c r="P26" s="89"/>
      <c r="Q26" s="89"/>
      <c r="R26" s="89"/>
      <c r="S26" s="89"/>
    </row>
    <row r="27" spans="1:19" hidden="1" x14ac:dyDescent="0.4">
      <c r="A27" s="87" t="s">
        <v>15</v>
      </c>
      <c r="B27" s="88">
        <v>103</v>
      </c>
      <c r="C27" s="88">
        <v>103.515625</v>
      </c>
      <c r="D27" s="88">
        <v>87</v>
      </c>
      <c r="E27" s="88">
        <v>88.75</v>
      </c>
      <c r="F27" s="89">
        <f t="shared" si="6"/>
        <v>9</v>
      </c>
      <c r="G27" s="89">
        <f t="shared" si="2"/>
        <v>-927</v>
      </c>
      <c r="H27" s="89">
        <f t="shared" si="7"/>
        <v>11</v>
      </c>
      <c r="I27" s="89">
        <f t="shared" si="8"/>
        <v>-976.25</v>
      </c>
      <c r="J27" s="89">
        <f t="shared" si="3"/>
        <v>9</v>
      </c>
      <c r="K27" s="89">
        <f t="shared" si="4"/>
        <v>-931.640625</v>
      </c>
      <c r="L27" s="89">
        <f t="shared" si="9"/>
        <v>11</v>
      </c>
      <c r="M27" s="89">
        <f t="shared" si="10"/>
        <v>-957</v>
      </c>
      <c r="N27" s="89"/>
      <c r="O27" s="89"/>
      <c r="P27" s="89"/>
      <c r="Q27" s="89"/>
      <c r="R27" s="89"/>
      <c r="S27" s="89"/>
    </row>
    <row r="28" spans="1:19" hidden="1" x14ac:dyDescent="0.4">
      <c r="A28" s="87" t="s">
        <v>16</v>
      </c>
      <c r="B28" s="88">
        <v>90.25</v>
      </c>
      <c r="C28" s="88">
        <v>90.25</v>
      </c>
      <c r="D28" s="88">
        <v>73.625</v>
      </c>
      <c r="E28" s="88">
        <v>81.703125</v>
      </c>
      <c r="F28" s="89">
        <f t="shared" si="6"/>
        <v>11</v>
      </c>
      <c r="G28" s="89">
        <f t="shared" si="2"/>
        <v>-992.75</v>
      </c>
      <c r="H28" s="89">
        <f t="shared" si="7"/>
        <v>12</v>
      </c>
      <c r="I28" s="89">
        <f t="shared" si="8"/>
        <v>-980.4375</v>
      </c>
      <c r="J28" s="89">
        <f t="shared" si="3"/>
        <v>11</v>
      </c>
      <c r="K28" s="89">
        <f t="shared" si="4"/>
        <v>-992.75</v>
      </c>
      <c r="L28" s="89">
        <f t="shared" si="9"/>
        <v>13</v>
      </c>
      <c r="M28" s="89">
        <f t="shared" si="10"/>
        <v>-957.125</v>
      </c>
      <c r="N28" s="89"/>
      <c r="O28" s="89"/>
      <c r="P28" s="89"/>
      <c r="Q28" s="89"/>
      <c r="R28" s="89"/>
      <c r="S28" s="89"/>
    </row>
    <row r="29" spans="1:19" hidden="1" x14ac:dyDescent="0.4">
      <c r="A29" s="87" t="s">
        <v>17</v>
      </c>
      <c r="B29" s="88">
        <v>80.3125</v>
      </c>
      <c r="C29" s="88">
        <v>84.125</v>
      </c>
      <c r="D29" s="88">
        <v>60.5</v>
      </c>
      <c r="E29" s="88">
        <v>62.984375</v>
      </c>
      <c r="F29" s="89">
        <f t="shared" si="6"/>
        <v>12</v>
      </c>
      <c r="G29" s="89">
        <f t="shared" si="2"/>
        <v>-963.75</v>
      </c>
      <c r="H29" s="89">
        <f t="shared" si="7"/>
        <v>15</v>
      </c>
      <c r="I29" s="89">
        <f t="shared" si="8"/>
        <v>-944.765625</v>
      </c>
      <c r="J29" s="89">
        <f t="shared" si="3"/>
        <v>11</v>
      </c>
      <c r="K29" s="89">
        <f t="shared" si="4"/>
        <v>-925.375</v>
      </c>
      <c r="L29" s="89">
        <f t="shared" si="9"/>
        <v>16</v>
      </c>
      <c r="M29" s="89">
        <f t="shared" si="10"/>
        <v>-968</v>
      </c>
      <c r="N29" s="89"/>
      <c r="O29" s="89"/>
      <c r="P29" s="89"/>
      <c r="Q29" s="89"/>
      <c r="R29" s="89"/>
      <c r="S29" s="89"/>
    </row>
    <row r="30" spans="1:19" hidden="1" x14ac:dyDescent="0.4">
      <c r="A30" s="87" t="s">
        <v>18</v>
      </c>
      <c r="B30" s="88">
        <v>64.0625</v>
      </c>
      <c r="C30" s="88">
        <v>74.78125</v>
      </c>
      <c r="D30" s="88">
        <v>54.25</v>
      </c>
      <c r="E30" s="88">
        <v>58.375</v>
      </c>
      <c r="F30" s="89">
        <f t="shared" si="6"/>
        <v>15</v>
      </c>
      <c r="G30" s="89">
        <f t="shared" si="2"/>
        <v>-960.9375</v>
      </c>
      <c r="H30" s="89">
        <f t="shared" si="7"/>
        <v>17</v>
      </c>
      <c r="I30" s="89">
        <f t="shared" si="8"/>
        <v>-992.375</v>
      </c>
      <c r="J30" s="89">
        <f t="shared" si="3"/>
        <v>13</v>
      </c>
      <c r="K30" s="89">
        <f t="shared" si="4"/>
        <v>-972.15625</v>
      </c>
      <c r="L30" s="89">
        <f t="shared" si="9"/>
        <v>18</v>
      </c>
      <c r="M30" s="89">
        <f t="shared" si="10"/>
        <v>-976.5</v>
      </c>
      <c r="N30" s="89"/>
      <c r="O30" s="89"/>
      <c r="P30" s="89"/>
      <c r="Q30" s="89"/>
      <c r="R30" s="89"/>
      <c r="S30" s="89"/>
    </row>
    <row r="31" spans="1:19" hidden="1" x14ac:dyDescent="0.4">
      <c r="A31" s="87" t="s">
        <v>19</v>
      </c>
      <c r="B31" s="88">
        <v>58.5625</v>
      </c>
      <c r="C31" s="88">
        <v>69.125</v>
      </c>
      <c r="D31" s="88">
        <v>52.15625</v>
      </c>
      <c r="E31" s="88">
        <v>64.300003000000004</v>
      </c>
      <c r="F31" s="89">
        <f t="shared" si="6"/>
        <v>17</v>
      </c>
      <c r="G31" s="89">
        <f t="shared" si="2"/>
        <v>-995.5625</v>
      </c>
      <c r="H31" s="89">
        <f t="shared" si="7"/>
        <v>15</v>
      </c>
      <c r="I31" s="89">
        <f t="shared" si="8"/>
        <v>-964.500045</v>
      </c>
      <c r="J31" s="89">
        <f t="shared" si="3"/>
        <v>14</v>
      </c>
      <c r="K31" s="89">
        <f t="shared" si="4"/>
        <v>-967.75</v>
      </c>
      <c r="L31" s="89">
        <f t="shared" si="9"/>
        <v>19</v>
      </c>
      <c r="M31" s="89">
        <f t="shared" si="10"/>
        <v>-990.96875</v>
      </c>
      <c r="N31" s="89"/>
      <c r="O31" s="89"/>
      <c r="P31" s="89"/>
      <c r="Q31" s="89"/>
      <c r="R31" s="89"/>
      <c r="S31" s="89"/>
    </row>
    <row r="32" spans="1:19" hidden="1" x14ac:dyDescent="0.4">
      <c r="A32" s="87" t="s">
        <v>20</v>
      </c>
      <c r="B32" s="88">
        <v>64.550003000000004</v>
      </c>
      <c r="C32" s="88">
        <v>65.610000999999997</v>
      </c>
      <c r="D32" s="88">
        <v>46.860000999999997</v>
      </c>
      <c r="E32" s="88">
        <v>47.450001</v>
      </c>
      <c r="F32" s="89">
        <f t="shared" si="6"/>
        <v>15</v>
      </c>
      <c r="G32" s="89">
        <f t="shared" si="2"/>
        <v>-968.250045</v>
      </c>
      <c r="H32" s="89">
        <f t="shared" si="7"/>
        <v>21</v>
      </c>
      <c r="I32" s="89">
        <f t="shared" si="8"/>
        <v>-996.45002099999999</v>
      </c>
      <c r="J32" s="89">
        <f t="shared" si="3"/>
        <v>15</v>
      </c>
      <c r="K32" s="89">
        <f t="shared" si="4"/>
        <v>-984.15001499999994</v>
      </c>
      <c r="L32" s="89">
        <f t="shared" si="9"/>
        <v>21</v>
      </c>
      <c r="M32" s="89">
        <f t="shared" si="10"/>
        <v>-984.06002099999989</v>
      </c>
      <c r="N32" s="89"/>
      <c r="O32" s="89"/>
      <c r="P32" s="89"/>
      <c r="Q32" s="89"/>
      <c r="R32" s="89"/>
      <c r="S32" s="89"/>
    </row>
    <row r="33" spans="1:19" hidden="1" x14ac:dyDescent="0.4">
      <c r="A33" s="87" t="s">
        <v>21</v>
      </c>
      <c r="B33" s="88">
        <v>46.970001000000003</v>
      </c>
      <c r="C33" s="88">
        <v>50.66</v>
      </c>
      <c r="D33" s="88">
        <v>38</v>
      </c>
      <c r="E33" s="88">
        <v>39.150002000000001</v>
      </c>
      <c r="F33" s="89">
        <f t="shared" si="6"/>
        <v>21</v>
      </c>
      <c r="G33" s="89">
        <f t="shared" si="2"/>
        <v>-986.37002100000007</v>
      </c>
      <c r="H33" s="89">
        <f t="shared" si="7"/>
        <v>25</v>
      </c>
      <c r="I33" s="89">
        <f t="shared" si="8"/>
        <v>-978.75004999999999</v>
      </c>
      <c r="J33" s="89">
        <f t="shared" si="3"/>
        <v>19</v>
      </c>
      <c r="K33" s="89">
        <f t="shared" si="4"/>
        <v>-962.54</v>
      </c>
      <c r="L33" s="89">
        <f t="shared" si="9"/>
        <v>26</v>
      </c>
      <c r="M33" s="89">
        <f t="shared" si="10"/>
        <v>-988</v>
      </c>
      <c r="N33" s="89"/>
      <c r="O33" s="89"/>
      <c r="P33" s="89"/>
      <c r="Q33" s="89"/>
      <c r="R33" s="89"/>
      <c r="S33" s="89"/>
    </row>
    <row r="34" spans="1:19" hidden="1" x14ac:dyDescent="0.4">
      <c r="A34" s="87" t="s">
        <v>22</v>
      </c>
      <c r="B34" s="88">
        <v>39.169998</v>
      </c>
      <c r="C34" s="88">
        <v>49.439999</v>
      </c>
      <c r="D34" s="88">
        <v>33.599997999999999</v>
      </c>
      <c r="E34" s="88">
        <v>46.150002000000001</v>
      </c>
      <c r="F34" s="89">
        <f t="shared" si="6"/>
        <v>25</v>
      </c>
      <c r="G34" s="89">
        <f t="shared" si="2"/>
        <v>-979.24995000000001</v>
      </c>
      <c r="H34" s="89">
        <f t="shared" si="7"/>
        <v>21</v>
      </c>
      <c r="I34" s="89">
        <f t="shared" si="8"/>
        <v>-969.15004199999998</v>
      </c>
      <c r="J34" s="89">
        <f t="shared" si="3"/>
        <v>20</v>
      </c>
      <c r="K34" s="89">
        <f t="shared" si="4"/>
        <v>-988.79998000000001</v>
      </c>
      <c r="L34" s="89">
        <f t="shared" si="9"/>
        <v>29</v>
      </c>
      <c r="M34" s="89">
        <f t="shared" si="10"/>
        <v>-974.39994200000001</v>
      </c>
      <c r="N34" s="89"/>
      <c r="O34" s="89"/>
      <c r="P34" s="89"/>
      <c r="Q34" s="89"/>
      <c r="R34" s="89"/>
      <c r="S34" s="89"/>
    </row>
    <row r="35" spans="1:19" hidden="1" x14ac:dyDescent="0.4">
      <c r="A35" s="87" t="s">
        <v>23</v>
      </c>
      <c r="B35" s="88">
        <v>46.200001</v>
      </c>
      <c r="C35" s="88">
        <v>51.950001</v>
      </c>
      <c r="D35" s="88">
        <v>43.349997999999999</v>
      </c>
      <c r="E35" s="88">
        <v>44.73</v>
      </c>
      <c r="F35" s="89">
        <f t="shared" si="6"/>
        <v>21</v>
      </c>
      <c r="G35" s="89">
        <f t="shared" si="2"/>
        <v>-970.20002099999999</v>
      </c>
      <c r="H35" s="89">
        <f t="shared" si="7"/>
        <v>22</v>
      </c>
      <c r="I35" s="89">
        <f t="shared" si="8"/>
        <v>-984.06</v>
      </c>
      <c r="J35" s="89">
        <f t="shared" si="3"/>
        <v>19</v>
      </c>
      <c r="K35" s="89">
        <f t="shared" si="4"/>
        <v>-987.05001900000002</v>
      </c>
      <c r="L35" s="89">
        <f t="shared" si="9"/>
        <v>23</v>
      </c>
      <c r="M35" s="89">
        <f t="shared" si="10"/>
        <v>-997.04995399999996</v>
      </c>
      <c r="N35" s="89"/>
      <c r="O35" s="89"/>
      <c r="P35" s="89">
        <f t="shared" ref="P35" si="12">INT(P$1/MAX(C24:C35))</f>
        <v>115</v>
      </c>
      <c r="Q35" s="89">
        <f t="shared" ref="Q35" si="13">P35*-MAX(C24:C35)</f>
        <v>-11904.296875</v>
      </c>
      <c r="R35" s="89">
        <f t="shared" ref="R35" si="14">INT(R$1/MIN(D24:D35))</f>
        <v>357</v>
      </c>
      <c r="S35" s="89">
        <f t="shared" ref="S35" si="15">R35*-MIN(D24:D35)</f>
        <v>-11995.199285999999</v>
      </c>
    </row>
    <row r="36" spans="1:19" hidden="1" x14ac:dyDescent="0.4">
      <c r="A36" s="87" t="s">
        <v>24</v>
      </c>
      <c r="B36" s="88">
        <v>45.540000999999997</v>
      </c>
      <c r="C36" s="88">
        <v>49.490001999999997</v>
      </c>
      <c r="D36" s="88">
        <v>41.259998000000003</v>
      </c>
      <c r="E36" s="88">
        <v>45.700001</v>
      </c>
      <c r="F36" s="89">
        <f t="shared" si="6"/>
        <v>21</v>
      </c>
      <c r="G36" s="89">
        <f t="shared" si="2"/>
        <v>-956.34002099999998</v>
      </c>
      <c r="H36" s="89">
        <f t="shared" si="7"/>
        <v>21</v>
      </c>
      <c r="I36" s="89">
        <f t="shared" si="8"/>
        <v>-959.70002099999999</v>
      </c>
      <c r="J36" s="89">
        <f t="shared" si="3"/>
        <v>20</v>
      </c>
      <c r="K36" s="89">
        <f t="shared" si="4"/>
        <v>-989.80003999999997</v>
      </c>
      <c r="L36" s="89">
        <f t="shared" si="9"/>
        <v>24</v>
      </c>
      <c r="M36" s="89">
        <f t="shared" si="10"/>
        <v>-990.23995200000013</v>
      </c>
      <c r="N36" s="89"/>
      <c r="O36" s="89"/>
      <c r="P36" s="89"/>
      <c r="Q36" s="89"/>
      <c r="R36" s="89"/>
      <c r="S36" s="89"/>
    </row>
    <row r="37" spans="1:19" hidden="1" x14ac:dyDescent="0.4">
      <c r="A37" s="87" t="s">
        <v>25</v>
      </c>
      <c r="B37" s="88">
        <v>45.650002000000001</v>
      </c>
      <c r="C37" s="88">
        <v>46.48</v>
      </c>
      <c r="D37" s="88">
        <v>39.310001</v>
      </c>
      <c r="E37" s="88">
        <v>41.759998000000003</v>
      </c>
      <c r="F37" s="89">
        <f t="shared" si="6"/>
        <v>21</v>
      </c>
      <c r="G37" s="89">
        <f t="shared" si="2"/>
        <v>-958.65004199999998</v>
      </c>
      <c r="H37" s="89">
        <f t="shared" si="7"/>
        <v>23</v>
      </c>
      <c r="I37" s="89">
        <f t="shared" si="8"/>
        <v>-960.47995400000002</v>
      </c>
      <c r="J37" s="89">
        <f t="shared" si="3"/>
        <v>21</v>
      </c>
      <c r="K37" s="89">
        <f t="shared" si="4"/>
        <v>-976.07999999999993</v>
      </c>
      <c r="L37" s="89">
        <f t="shared" si="9"/>
        <v>25</v>
      </c>
      <c r="M37" s="89">
        <f t="shared" si="10"/>
        <v>-982.75002500000005</v>
      </c>
      <c r="N37" s="89"/>
      <c r="O37" s="89"/>
      <c r="P37" s="89"/>
      <c r="Q37" s="89"/>
      <c r="R37" s="89"/>
      <c r="S37" s="89"/>
    </row>
    <row r="38" spans="1:19" hidden="1" x14ac:dyDescent="0.4">
      <c r="A38" s="87" t="s">
        <v>26</v>
      </c>
      <c r="B38" s="88">
        <v>42.630001</v>
      </c>
      <c r="C38" s="88">
        <v>44</v>
      </c>
      <c r="D38" s="88">
        <v>35.75</v>
      </c>
      <c r="E38" s="88">
        <v>36.630001</v>
      </c>
      <c r="F38" s="89">
        <f t="shared" si="6"/>
        <v>23</v>
      </c>
      <c r="G38" s="89">
        <f t="shared" si="2"/>
        <v>-980.49002299999995</v>
      </c>
      <c r="H38" s="89">
        <f t="shared" si="7"/>
        <v>27</v>
      </c>
      <c r="I38" s="89">
        <f t="shared" si="8"/>
        <v>-989.01002700000004</v>
      </c>
      <c r="J38" s="89">
        <f t="shared" si="3"/>
        <v>22</v>
      </c>
      <c r="K38" s="89">
        <f t="shared" si="4"/>
        <v>-968</v>
      </c>
      <c r="L38" s="89">
        <f t="shared" si="9"/>
        <v>27</v>
      </c>
      <c r="M38" s="89">
        <f t="shared" si="10"/>
        <v>-965.25</v>
      </c>
      <c r="N38" s="89"/>
      <c r="O38" s="89"/>
      <c r="P38" s="89"/>
      <c r="Q38" s="89"/>
      <c r="R38" s="89"/>
      <c r="S38" s="89"/>
    </row>
    <row r="39" spans="1:19" hidden="1" x14ac:dyDescent="0.4">
      <c r="A39" s="87" t="s">
        <v>27</v>
      </c>
      <c r="B39" s="88">
        <v>36.509998000000003</v>
      </c>
      <c r="C39" s="88">
        <v>37.5</v>
      </c>
      <c r="D39" s="88">
        <v>27.200001</v>
      </c>
      <c r="E39" s="88">
        <v>28.98</v>
      </c>
      <c r="F39" s="89">
        <f t="shared" si="6"/>
        <v>27</v>
      </c>
      <c r="G39" s="89">
        <f t="shared" si="2"/>
        <v>-985.76994600000012</v>
      </c>
      <c r="H39" s="89">
        <f t="shared" si="7"/>
        <v>34</v>
      </c>
      <c r="I39" s="89">
        <f t="shared" si="8"/>
        <v>-985.32</v>
      </c>
      <c r="J39" s="89">
        <f t="shared" si="3"/>
        <v>26</v>
      </c>
      <c r="K39" s="89">
        <f t="shared" si="4"/>
        <v>-975</v>
      </c>
      <c r="L39" s="89">
        <f t="shared" si="9"/>
        <v>36</v>
      </c>
      <c r="M39" s="89">
        <f t="shared" si="10"/>
        <v>-979.20003599999995</v>
      </c>
      <c r="N39" s="89"/>
      <c r="O39" s="89"/>
      <c r="P39" s="89"/>
      <c r="Q39" s="89"/>
      <c r="R39" s="89"/>
      <c r="S39" s="89"/>
    </row>
    <row r="40" spans="1:19" hidden="1" x14ac:dyDescent="0.4">
      <c r="A40" s="87" t="s">
        <v>28</v>
      </c>
      <c r="B40" s="88">
        <v>28.85</v>
      </c>
      <c r="C40" s="88">
        <v>37.060001</v>
      </c>
      <c r="D40" s="88">
        <v>27.85</v>
      </c>
      <c r="E40" s="88">
        <v>33.900002000000001</v>
      </c>
      <c r="F40" s="89">
        <f t="shared" si="6"/>
        <v>34</v>
      </c>
      <c r="G40" s="89">
        <f t="shared" si="2"/>
        <v>-980.90000000000009</v>
      </c>
      <c r="H40" s="89">
        <f t="shared" si="7"/>
        <v>29</v>
      </c>
      <c r="I40" s="89">
        <f t="shared" si="8"/>
        <v>-983.10005799999999</v>
      </c>
      <c r="J40" s="89">
        <f t="shared" si="3"/>
        <v>26</v>
      </c>
      <c r="K40" s="89">
        <f t="shared" si="4"/>
        <v>-963.56002599999999</v>
      </c>
      <c r="L40" s="89">
        <f t="shared" si="9"/>
        <v>35</v>
      </c>
      <c r="M40" s="89">
        <f t="shared" si="10"/>
        <v>-974.75</v>
      </c>
      <c r="N40" s="89"/>
      <c r="O40" s="89"/>
      <c r="P40" s="89"/>
      <c r="Q40" s="89"/>
      <c r="R40" s="89"/>
      <c r="S40" s="89"/>
    </row>
    <row r="41" spans="1:19" hidden="1" x14ac:dyDescent="0.4">
      <c r="A41" s="87" t="s">
        <v>29</v>
      </c>
      <c r="B41" s="88">
        <v>34.439999</v>
      </c>
      <c r="C41" s="88">
        <v>40.970001000000003</v>
      </c>
      <c r="D41" s="88">
        <v>33.779998999999997</v>
      </c>
      <c r="E41" s="88">
        <v>39.650002000000001</v>
      </c>
      <c r="F41" s="89">
        <f t="shared" si="6"/>
        <v>29</v>
      </c>
      <c r="G41" s="89">
        <f t="shared" si="2"/>
        <v>-998.75997099999995</v>
      </c>
      <c r="H41" s="89">
        <f t="shared" si="7"/>
        <v>25</v>
      </c>
      <c r="I41" s="89">
        <f t="shared" si="8"/>
        <v>-991.25004999999999</v>
      </c>
      <c r="J41" s="89">
        <f t="shared" si="3"/>
        <v>24</v>
      </c>
      <c r="K41" s="89">
        <f t="shared" si="4"/>
        <v>-983.28002400000014</v>
      </c>
      <c r="L41" s="89">
        <f t="shared" si="9"/>
        <v>29</v>
      </c>
      <c r="M41" s="89">
        <f t="shared" si="10"/>
        <v>-979.61997099999985</v>
      </c>
      <c r="N41" s="89"/>
      <c r="O41" s="89"/>
      <c r="P41" s="89"/>
      <c r="Q41" s="89"/>
      <c r="R41" s="89"/>
      <c r="S41" s="89"/>
    </row>
    <row r="42" spans="1:19" hidden="1" x14ac:dyDescent="0.4">
      <c r="A42" s="87" t="s">
        <v>30</v>
      </c>
      <c r="B42" s="88">
        <v>39.290000999999997</v>
      </c>
      <c r="C42" s="88">
        <v>43.240001999999997</v>
      </c>
      <c r="D42" s="88">
        <v>38.439999</v>
      </c>
      <c r="E42" s="88">
        <v>38.909999999999997</v>
      </c>
      <c r="F42" s="89">
        <f t="shared" si="6"/>
        <v>25</v>
      </c>
      <c r="G42" s="89">
        <f t="shared" si="2"/>
        <v>-982.25002499999994</v>
      </c>
      <c r="H42" s="89">
        <f t="shared" si="7"/>
        <v>25</v>
      </c>
      <c r="I42" s="89">
        <f t="shared" si="8"/>
        <v>-972.74999999999989</v>
      </c>
      <c r="J42" s="89">
        <f t="shared" si="3"/>
        <v>23</v>
      </c>
      <c r="K42" s="89">
        <f t="shared" si="4"/>
        <v>-994.52004599999998</v>
      </c>
      <c r="L42" s="89">
        <f t="shared" si="9"/>
        <v>26</v>
      </c>
      <c r="M42" s="89">
        <f t="shared" si="10"/>
        <v>-999.43997400000001</v>
      </c>
      <c r="N42" s="89"/>
      <c r="O42" s="89"/>
      <c r="P42" s="89"/>
      <c r="Q42" s="89"/>
      <c r="R42" s="89"/>
      <c r="S42" s="89"/>
    </row>
    <row r="43" spans="1:19" hidden="1" x14ac:dyDescent="0.4">
      <c r="A43" s="87" t="s">
        <v>31</v>
      </c>
      <c r="B43" s="88">
        <v>39.57</v>
      </c>
      <c r="C43" s="88">
        <v>42.599997999999999</v>
      </c>
      <c r="D43" s="88">
        <v>36.849997999999999</v>
      </c>
      <c r="E43" s="88">
        <v>38.509998000000003</v>
      </c>
      <c r="F43" s="89">
        <f t="shared" si="6"/>
        <v>25</v>
      </c>
      <c r="G43" s="89">
        <f t="shared" si="2"/>
        <v>-989.25</v>
      </c>
      <c r="H43" s="89">
        <f t="shared" si="7"/>
        <v>25</v>
      </c>
      <c r="I43" s="89">
        <f t="shared" si="8"/>
        <v>-962.74995000000013</v>
      </c>
      <c r="J43" s="89">
        <f t="shared" si="3"/>
        <v>23</v>
      </c>
      <c r="K43" s="89">
        <f t="shared" si="4"/>
        <v>-979.79995399999996</v>
      </c>
      <c r="L43" s="89">
        <f t="shared" si="9"/>
        <v>27</v>
      </c>
      <c r="M43" s="89">
        <f t="shared" si="10"/>
        <v>-994.94994599999995</v>
      </c>
      <c r="N43" s="89"/>
      <c r="O43" s="89"/>
      <c r="P43" s="89"/>
      <c r="Q43" s="89"/>
      <c r="R43" s="89"/>
      <c r="S43" s="89"/>
    </row>
    <row r="44" spans="1:19" hidden="1" x14ac:dyDescent="0.4">
      <c r="A44" s="87" t="s">
        <v>32</v>
      </c>
      <c r="B44" s="88">
        <v>38.400002000000001</v>
      </c>
      <c r="C44" s="88">
        <v>38.880001</v>
      </c>
      <c r="D44" s="88">
        <v>33.090000000000003</v>
      </c>
      <c r="E44" s="88">
        <v>33.779998999999997</v>
      </c>
      <c r="F44" s="89">
        <f t="shared" si="6"/>
        <v>26</v>
      </c>
      <c r="G44" s="89">
        <f t="shared" si="2"/>
        <v>-998.40005199999996</v>
      </c>
      <c r="H44" s="89">
        <f t="shared" si="7"/>
        <v>29</v>
      </c>
      <c r="I44" s="89">
        <f t="shared" si="8"/>
        <v>-979.61997099999985</v>
      </c>
      <c r="J44" s="89">
        <f t="shared" si="3"/>
        <v>25</v>
      </c>
      <c r="K44" s="89">
        <f t="shared" si="4"/>
        <v>-972.00002500000005</v>
      </c>
      <c r="L44" s="89">
        <f t="shared" si="9"/>
        <v>30</v>
      </c>
      <c r="M44" s="89">
        <f t="shared" si="10"/>
        <v>-992.7</v>
      </c>
      <c r="N44" s="89"/>
      <c r="O44" s="89"/>
      <c r="P44" s="89"/>
      <c r="Q44" s="89"/>
      <c r="R44" s="89"/>
      <c r="S44" s="89"/>
    </row>
    <row r="45" spans="1:19" hidden="1" x14ac:dyDescent="0.4">
      <c r="A45" s="87" t="s">
        <v>33</v>
      </c>
      <c r="B45" s="88">
        <v>34.150002000000001</v>
      </c>
      <c r="C45" s="88">
        <v>39.189999</v>
      </c>
      <c r="D45" s="88">
        <v>34.090000000000003</v>
      </c>
      <c r="E45" s="88">
        <v>36.060001</v>
      </c>
      <c r="F45" s="89">
        <f t="shared" si="6"/>
        <v>29</v>
      </c>
      <c r="G45" s="89">
        <f t="shared" si="2"/>
        <v>-990.35005799999999</v>
      </c>
      <c r="H45" s="89">
        <f t="shared" si="7"/>
        <v>27</v>
      </c>
      <c r="I45" s="89">
        <f t="shared" si="8"/>
        <v>-973.62002699999994</v>
      </c>
      <c r="J45" s="89">
        <f t="shared" si="3"/>
        <v>25</v>
      </c>
      <c r="K45" s="89">
        <f t="shared" si="4"/>
        <v>-979.74997499999995</v>
      </c>
      <c r="L45" s="89">
        <f t="shared" si="9"/>
        <v>29</v>
      </c>
      <c r="M45" s="89">
        <f t="shared" si="10"/>
        <v>-988.61000000000013</v>
      </c>
      <c r="N45" s="89"/>
      <c r="O45" s="89"/>
      <c r="P45" s="89"/>
      <c r="Q45" s="89"/>
      <c r="R45" s="89"/>
      <c r="S45" s="89"/>
    </row>
    <row r="46" spans="1:19" hidden="1" x14ac:dyDescent="0.4">
      <c r="A46" s="87" t="s">
        <v>34</v>
      </c>
      <c r="B46" s="88">
        <v>35.799999</v>
      </c>
      <c r="C46" s="88">
        <v>36.900002000000001</v>
      </c>
      <c r="D46" s="88">
        <v>30.559999000000001</v>
      </c>
      <c r="E46" s="88">
        <v>31.73</v>
      </c>
      <c r="F46" s="89">
        <f t="shared" si="6"/>
        <v>27</v>
      </c>
      <c r="G46" s="89">
        <f t="shared" si="2"/>
        <v>-966.59997299999998</v>
      </c>
      <c r="H46" s="89">
        <f t="shared" si="7"/>
        <v>31</v>
      </c>
      <c r="I46" s="89">
        <f t="shared" si="8"/>
        <v>-983.63</v>
      </c>
      <c r="J46" s="89">
        <f t="shared" si="3"/>
        <v>27</v>
      </c>
      <c r="K46" s="89">
        <f t="shared" si="4"/>
        <v>-996.30005400000005</v>
      </c>
      <c r="L46" s="89">
        <f t="shared" si="9"/>
        <v>32</v>
      </c>
      <c r="M46" s="89">
        <f t="shared" si="10"/>
        <v>-977.91996800000004</v>
      </c>
      <c r="N46" s="89"/>
      <c r="O46" s="89"/>
      <c r="P46" s="89"/>
      <c r="Q46" s="89"/>
      <c r="R46" s="89"/>
      <c r="S46" s="89"/>
    </row>
    <row r="47" spans="1:19" hidden="1" x14ac:dyDescent="0.4">
      <c r="A47" s="87" t="s">
        <v>35</v>
      </c>
      <c r="B47" s="88">
        <v>31.67</v>
      </c>
      <c r="C47" s="88">
        <v>33.630001</v>
      </c>
      <c r="D47" s="88">
        <v>28.42</v>
      </c>
      <c r="E47" s="88">
        <v>30.040001</v>
      </c>
      <c r="F47" s="89">
        <f t="shared" si="6"/>
        <v>31</v>
      </c>
      <c r="G47" s="89">
        <f t="shared" si="2"/>
        <v>-981.7700000000001</v>
      </c>
      <c r="H47" s="89">
        <f t="shared" si="7"/>
        <v>33</v>
      </c>
      <c r="I47" s="89">
        <f t="shared" si="8"/>
        <v>-991.32003299999997</v>
      </c>
      <c r="J47" s="89">
        <f t="shared" si="3"/>
        <v>29</v>
      </c>
      <c r="K47" s="89">
        <f t="shared" si="4"/>
        <v>-975.27002900000002</v>
      </c>
      <c r="L47" s="89">
        <f t="shared" si="9"/>
        <v>35</v>
      </c>
      <c r="M47" s="89">
        <f t="shared" si="10"/>
        <v>-994.7</v>
      </c>
      <c r="N47" s="89"/>
      <c r="O47" s="89"/>
      <c r="P47" s="89">
        <f t="shared" ref="P47" si="16">INT(P$1/MAX(C36:C47))</f>
        <v>242</v>
      </c>
      <c r="Q47" s="89">
        <f t="shared" ref="Q47" si="17">P47*-MAX(C36:C47)</f>
        <v>-11976.580484</v>
      </c>
      <c r="R47" s="89">
        <f t="shared" ref="R47" si="18">INT(R$1/MIN(D36:D47))</f>
        <v>441</v>
      </c>
      <c r="S47" s="89">
        <f t="shared" ref="S47" si="19">R47*-MIN(D36:D47)</f>
        <v>-11995.200441000001</v>
      </c>
    </row>
    <row r="48" spans="1:19" hidden="1" x14ac:dyDescent="0.4">
      <c r="A48" s="87" t="s">
        <v>36</v>
      </c>
      <c r="B48" s="88">
        <v>30</v>
      </c>
      <c r="C48" s="88">
        <v>30.25</v>
      </c>
      <c r="D48" s="88">
        <v>24.389999</v>
      </c>
      <c r="E48" s="88">
        <v>26.1</v>
      </c>
      <c r="F48" s="89">
        <f t="shared" si="6"/>
        <v>33</v>
      </c>
      <c r="G48" s="89">
        <f t="shared" si="2"/>
        <v>-990</v>
      </c>
      <c r="H48" s="89">
        <f t="shared" si="7"/>
        <v>38</v>
      </c>
      <c r="I48" s="89">
        <f t="shared" si="8"/>
        <v>-991.80000000000007</v>
      </c>
      <c r="J48" s="89">
        <f t="shared" si="3"/>
        <v>33</v>
      </c>
      <c r="K48" s="89">
        <f t="shared" si="4"/>
        <v>-998.25</v>
      </c>
      <c r="L48" s="89">
        <f t="shared" si="9"/>
        <v>41</v>
      </c>
      <c r="M48" s="89">
        <f t="shared" si="10"/>
        <v>-999.989959</v>
      </c>
      <c r="N48" s="89"/>
      <c r="O48" s="89"/>
      <c r="P48" s="89"/>
      <c r="Q48" s="89"/>
      <c r="R48" s="89"/>
      <c r="S48" s="89"/>
    </row>
    <row r="49" spans="1:19" hidden="1" x14ac:dyDescent="0.4">
      <c r="A49" s="87" t="s">
        <v>37</v>
      </c>
      <c r="B49" s="88">
        <v>25.969999000000001</v>
      </c>
      <c r="C49" s="88">
        <v>26.549999</v>
      </c>
      <c r="D49" s="88">
        <v>21.639999</v>
      </c>
      <c r="E49" s="88">
        <v>23.85</v>
      </c>
      <c r="F49" s="89">
        <f t="shared" si="6"/>
        <v>38</v>
      </c>
      <c r="G49" s="89">
        <f t="shared" si="2"/>
        <v>-986.859962</v>
      </c>
      <c r="H49" s="89">
        <f t="shared" si="7"/>
        <v>41</v>
      </c>
      <c r="I49" s="89">
        <f t="shared" si="8"/>
        <v>-977.85</v>
      </c>
      <c r="J49" s="89">
        <f t="shared" si="3"/>
        <v>37</v>
      </c>
      <c r="K49" s="89">
        <f t="shared" si="4"/>
        <v>-982.349963</v>
      </c>
      <c r="L49" s="89">
        <f t="shared" si="9"/>
        <v>46</v>
      </c>
      <c r="M49" s="89">
        <f t="shared" si="10"/>
        <v>-995.43995399999994</v>
      </c>
      <c r="N49" s="89"/>
      <c r="O49" s="89"/>
      <c r="P49" s="89"/>
      <c r="Q49" s="89"/>
      <c r="R49" s="89"/>
      <c r="S49" s="89"/>
    </row>
    <row r="50" spans="1:19" hidden="1" x14ac:dyDescent="0.4">
      <c r="A50" s="87" t="s">
        <v>38</v>
      </c>
      <c r="B50" s="88">
        <v>23.74</v>
      </c>
      <c r="C50" s="88">
        <v>26.209999</v>
      </c>
      <c r="D50" s="88">
        <v>21.299999</v>
      </c>
      <c r="E50" s="88">
        <v>23.49</v>
      </c>
      <c r="F50" s="89">
        <f t="shared" si="6"/>
        <v>42</v>
      </c>
      <c r="G50" s="89">
        <f t="shared" si="2"/>
        <v>-997.07999999999993</v>
      </c>
      <c r="H50" s="89">
        <f t="shared" si="7"/>
        <v>42</v>
      </c>
      <c r="I50" s="89">
        <f t="shared" si="8"/>
        <v>-986.57999999999993</v>
      </c>
      <c r="J50" s="89">
        <f t="shared" si="3"/>
        <v>38</v>
      </c>
      <c r="K50" s="89">
        <f t="shared" si="4"/>
        <v>-995.979962</v>
      </c>
      <c r="L50" s="89">
        <f t="shared" si="9"/>
        <v>46</v>
      </c>
      <c r="M50" s="89">
        <f t="shared" si="10"/>
        <v>-979.79995399999996</v>
      </c>
      <c r="N50" s="89"/>
      <c r="O50" s="89"/>
      <c r="P50" s="89"/>
      <c r="Q50" s="89"/>
      <c r="R50" s="89"/>
      <c r="S50" s="89"/>
    </row>
    <row r="51" spans="1:19" hidden="1" x14ac:dyDescent="0.4">
      <c r="A51" s="87" t="s">
        <v>39</v>
      </c>
      <c r="B51" s="88">
        <v>23.059999000000001</v>
      </c>
      <c r="C51" s="88">
        <v>24.35</v>
      </c>
      <c r="D51" s="88">
        <v>20.49</v>
      </c>
      <c r="E51" s="88">
        <v>20.719999000000001</v>
      </c>
      <c r="F51" s="89">
        <f t="shared" si="6"/>
        <v>43</v>
      </c>
      <c r="G51" s="89">
        <f t="shared" si="2"/>
        <v>-991.57995700000004</v>
      </c>
      <c r="H51" s="89">
        <f t="shared" si="7"/>
        <v>48</v>
      </c>
      <c r="I51" s="89">
        <f t="shared" si="8"/>
        <v>-994.55995200000007</v>
      </c>
      <c r="J51" s="89">
        <f t="shared" si="3"/>
        <v>41</v>
      </c>
      <c r="K51" s="89">
        <f t="shared" si="4"/>
        <v>-998.35</v>
      </c>
      <c r="L51" s="89">
        <f t="shared" si="9"/>
        <v>48</v>
      </c>
      <c r="M51" s="89">
        <f t="shared" si="10"/>
        <v>-983.52</v>
      </c>
      <c r="N51" s="89"/>
      <c r="O51" s="89"/>
      <c r="P51" s="89"/>
      <c r="Q51" s="89"/>
      <c r="R51" s="89"/>
      <c r="S51" s="89"/>
    </row>
    <row r="52" spans="1:19" hidden="1" x14ac:dyDescent="0.4">
      <c r="A52" s="87" t="s">
        <v>40</v>
      </c>
      <c r="B52" s="88">
        <v>20.91</v>
      </c>
      <c r="C52" s="88">
        <v>25.040001</v>
      </c>
      <c r="D52" s="88">
        <v>19.760000000000002</v>
      </c>
      <c r="E52" s="88">
        <v>24.549999</v>
      </c>
      <c r="F52" s="89">
        <f t="shared" si="6"/>
        <v>47</v>
      </c>
      <c r="G52" s="89">
        <f t="shared" si="2"/>
        <v>-982.77</v>
      </c>
      <c r="H52" s="89">
        <f t="shared" si="7"/>
        <v>40</v>
      </c>
      <c r="I52" s="89">
        <f t="shared" si="8"/>
        <v>-981.99995999999999</v>
      </c>
      <c r="J52" s="89">
        <f t="shared" si="3"/>
        <v>39</v>
      </c>
      <c r="K52" s="89">
        <f t="shared" si="4"/>
        <v>-976.56003899999996</v>
      </c>
      <c r="L52" s="89">
        <f t="shared" si="9"/>
        <v>50</v>
      </c>
      <c r="M52" s="89">
        <f t="shared" si="10"/>
        <v>-988.00000000000011</v>
      </c>
      <c r="N52" s="89"/>
      <c r="O52" s="89"/>
      <c r="P52" s="89"/>
      <c r="Q52" s="89"/>
      <c r="R52" s="89"/>
      <c r="S52" s="89"/>
    </row>
    <row r="53" spans="1:19" hidden="1" x14ac:dyDescent="0.4">
      <c r="A53" s="87" t="s">
        <v>41</v>
      </c>
      <c r="B53" s="88">
        <v>24.370000999999998</v>
      </c>
      <c r="C53" s="88">
        <v>28.290001</v>
      </c>
      <c r="D53" s="88">
        <v>24.139999</v>
      </c>
      <c r="E53" s="88">
        <v>27.719999000000001</v>
      </c>
      <c r="F53" s="89">
        <f t="shared" si="6"/>
        <v>41</v>
      </c>
      <c r="G53" s="89">
        <f t="shared" si="2"/>
        <v>-999.17004099999997</v>
      </c>
      <c r="H53" s="89">
        <f t="shared" si="7"/>
        <v>36</v>
      </c>
      <c r="I53" s="89">
        <f t="shared" si="8"/>
        <v>-997.91996400000005</v>
      </c>
      <c r="J53" s="89">
        <f t="shared" si="3"/>
        <v>35</v>
      </c>
      <c r="K53" s="89">
        <f t="shared" si="4"/>
        <v>-990.150035</v>
      </c>
      <c r="L53" s="89">
        <f t="shared" si="9"/>
        <v>41</v>
      </c>
      <c r="M53" s="89">
        <f t="shared" si="10"/>
        <v>-989.739959</v>
      </c>
      <c r="N53" s="89"/>
      <c r="O53" s="89"/>
      <c r="P53" s="89"/>
      <c r="Q53" s="89"/>
      <c r="R53" s="89"/>
      <c r="S53" s="89"/>
    </row>
    <row r="54" spans="1:19" hidden="1" x14ac:dyDescent="0.4">
      <c r="A54" s="87" t="s">
        <v>42</v>
      </c>
      <c r="B54" s="88">
        <v>28.42</v>
      </c>
      <c r="C54" s="88">
        <v>28.790001</v>
      </c>
      <c r="D54" s="88">
        <v>24.280000999999999</v>
      </c>
      <c r="E54" s="88">
        <v>24.370000999999998</v>
      </c>
      <c r="F54" s="89">
        <f t="shared" si="6"/>
        <v>35</v>
      </c>
      <c r="G54" s="89">
        <f t="shared" si="2"/>
        <v>-994.7</v>
      </c>
      <c r="H54" s="89">
        <f t="shared" si="7"/>
        <v>41</v>
      </c>
      <c r="I54" s="89">
        <f t="shared" si="8"/>
        <v>-999.17004099999997</v>
      </c>
      <c r="J54" s="89">
        <f t="shared" si="3"/>
        <v>34</v>
      </c>
      <c r="K54" s="89">
        <f t="shared" si="4"/>
        <v>-978.86003400000004</v>
      </c>
      <c r="L54" s="89">
        <f t="shared" si="9"/>
        <v>41</v>
      </c>
      <c r="M54" s="89">
        <f t="shared" si="10"/>
        <v>-995.48004099999991</v>
      </c>
      <c r="N54" s="89"/>
      <c r="O54" s="89"/>
      <c r="P54" s="89"/>
      <c r="Q54" s="89"/>
      <c r="R54" s="89"/>
      <c r="S54" s="89"/>
    </row>
    <row r="55" spans="1:19" hidden="1" x14ac:dyDescent="0.4">
      <c r="A55" s="87" t="s">
        <v>43</v>
      </c>
      <c r="B55" s="88">
        <v>24.719999000000001</v>
      </c>
      <c r="C55" s="88">
        <v>27.469999000000001</v>
      </c>
      <c r="D55" s="88">
        <v>24.01</v>
      </c>
      <c r="E55" s="88">
        <v>24.440000999999999</v>
      </c>
      <c r="F55" s="89">
        <f t="shared" si="6"/>
        <v>40</v>
      </c>
      <c r="G55" s="89">
        <f t="shared" si="2"/>
        <v>-988.79996000000006</v>
      </c>
      <c r="H55" s="89">
        <f t="shared" si="7"/>
        <v>40</v>
      </c>
      <c r="I55" s="89">
        <f t="shared" si="8"/>
        <v>-977.60003999999992</v>
      </c>
      <c r="J55" s="89">
        <f t="shared" si="3"/>
        <v>36</v>
      </c>
      <c r="K55" s="89">
        <f t="shared" si="4"/>
        <v>-988.91996400000005</v>
      </c>
      <c r="L55" s="89">
        <f t="shared" si="9"/>
        <v>41</v>
      </c>
      <c r="M55" s="89">
        <f t="shared" si="10"/>
        <v>-984.41000000000008</v>
      </c>
      <c r="N55" s="89"/>
      <c r="O55" s="89"/>
      <c r="P55" s="89"/>
      <c r="Q55" s="89"/>
      <c r="R55" s="89"/>
      <c r="S55" s="89"/>
    </row>
    <row r="56" spans="1:19" hidden="1" x14ac:dyDescent="0.4">
      <c r="A56" s="87" t="s">
        <v>44</v>
      </c>
      <c r="B56" s="88">
        <v>24.52</v>
      </c>
      <c r="C56" s="88">
        <v>25.370000999999998</v>
      </c>
      <c r="D56" s="88">
        <v>23.32</v>
      </c>
      <c r="E56" s="88">
        <v>25.16</v>
      </c>
      <c r="F56" s="89">
        <f t="shared" si="6"/>
        <v>40</v>
      </c>
      <c r="G56" s="89">
        <f t="shared" si="2"/>
        <v>-980.8</v>
      </c>
      <c r="H56" s="89">
        <f t="shared" si="7"/>
        <v>39</v>
      </c>
      <c r="I56" s="89">
        <f t="shared" si="8"/>
        <v>-981.24</v>
      </c>
      <c r="J56" s="89">
        <f t="shared" si="3"/>
        <v>39</v>
      </c>
      <c r="K56" s="89">
        <f t="shared" si="4"/>
        <v>-989.43003899999997</v>
      </c>
      <c r="L56" s="89">
        <f t="shared" si="9"/>
        <v>42</v>
      </c>
      <c r="M56" s="89">
        <f t="shared" si="10"/>
        <v>-979.44</v>
      </c>
      <c r="N56" s="89"/>
      <c r="O56" s="89"/>
      <c r="P56" s="89"/>
      <c r="Q56" s="89"/>
      <c r="R56" s="89"/>
      <c r="S56" s="89"/>
    </row>
    <row r="57" spans="1:19" hidden="1" x14ac:dyDescent="0.4">
      <c r="A57" s="87" t="s">
        <v>45</v>
      </c>
      <c r="B57" s="88">
        <v>25.27</v>
      </c>
      <c r="C57" s="88">
        <v>27.379999000000002</v>
      </c>
      <c r="D57" s="88">
        <v>23.540001</v>
      </c>
      <c r="E57" s="88">
        <v>25.25</v>
      </c>
      <c r="F57" s="89">
        <f t="shared" si="6"/>
        <v>39</v>
      </c>
      <c r="G57" s="89">
        <f t="shared" si="2"/>
        <v>-985.53</v>
      </c>
      <c r="H57" s="89">
        <f t="shared" si="7"/>
        <v>39</v>
      </c>
      <c r="I57" s="89">
        <f t="shared" si="8"/>
        <v>-984.75</v>
      </c>
      <c r="J57" s="89">
        <f t="shared" si="3"/>
        <v>36</v>
      </c>
      <c r="K57" s="89">
        <f t="shared" si="4"/>
        <v>-985.67996400000004</v>
      </c>
      <c r="L57" s="89">
        <f t="shared" si="9"/>
        <v>42</v>
      </c>
      <c r="M57" s="89">
        <f t="shared" si="10"/>
        <v>-988.68004199999996</v>
      </c>
      <c r="N57" s="89"/>
      <c r="O57" s="89"/>
      <c r="P57" s="89"/>
      <c r="Q57" s="89"/>
      <c r="R57" s="89"/>
      <c r="S57" s="89"/>
    </row>
    <row r="58" spans="1:19" hidden="1" x14ac:dyDescent="0.4">
      <c r="A58" s="87" t="s">
        <v>46</v>
      </c>
      <c r="B58" s="88">
        <v>25.440000999999999</v>
      </c>
      <c r="C58" s="88">
        <v>28.059999000000001</v>
      </c>
      <c r="D58" s="88">
        <v>25.25</v>
      </c>
      <c r="E58" s="88">
        <v>27.450001</v>
      </c>
      <c r="F58" s="89">
        <f t="shared" si="6"/>
        <v>39</v>
      </c>
      <c r="G58" s="89">
        <f t="shared" si="2"/>
        <v>-992.16003899999998</v>
      </c>
      <c r="H58" s="89">
        <f t="shared" si="7"/>
        <v>36</v>
      </c>
      <c r="I58" s="89">
        <f t="shared" si="8"/>
        <v>-988.20003599999995</v>
      </c>
      <c r="J58" s="89">
        <f t="shared" si="3"/>
        <v>35</v>
      </c>
      <c r="K58" s="89">
        <f t="shared" si="4"/>
        <v>-982.099965</v>
      </c>
      <c r="L58" s="89">
        <f t="shared" si="9"/>
        <v>39</v>
      </c>
      <c r="M58" s="89">
        <f t="shared" si="10"/>
        <v>-984.75</v>
      </c>
      <c r="N58" s="89"/>
      <c r="O58" s="89"/>
      <c r="P58" s="89"/>
      <c r="Q58" s="89"/>
      <c r="R58" s="89"/>
      <c r="S58" s="89"/>
    </row>
    <row r="59" spans="1:19" hidden="1" x14ac:dyDescent="0.4">
      <c r="A59" s="87" t="s">
        <v>47</v>
      </c>
      <c r="B59" s="88">
        <v>27.440000999999999</v>
      </c>
      <c r="C59" s="88">
        <v>29.870000999999998</v>
      </c>
      <c r="D59" s="88">
        <v>27.190000999999999</v>
      </c>
      <c r="E59" s="88">
        <v>29.790001</v>
      </c>
      <c r="F59" s="89">
        <f t="shared" si="6"/>
        <v>36</v>
      </c>
      <c r="G59" s="89">
        <f t="shared" si="2"/>
        <v>-987.84003599999994</v>
      </c>
      <c r="H59" s="89">
        <f t="shared" si="7"/>
        <v>33</v>
      </c>
      <c r="I59" s="89">
        <f t="shared" si="8"/>
        <v>-983.07003299999997</v>
      </c>
      <c r="J59" s="89">
        <f t="shared" si="3"/>
        <v>33</v>
      </c>
      <c r="K59" s="89">
        <f t="shared" si="4"/>
        <v>-985.71003299999995</v>
      </c>
      <c r="L59" s="89">
        <f t="shared" si="9"/>
        <v>36</v>
      </c>
      <c r="M59" s="89">
        <f t="shared" si="10"/>
        <v>-978.84003599999994</v>
      </c>
      <c r="N59" s="89"/>
      <c r="O59" s="89"/>
      <c r="P59" s="89">
        <f t="shared" ref="P59" si="20">INT(P$1/MAX(C48:C59))</f>
        <v>396</v>
      </c>
      <c r="Q59" s="89">
        <f t="shared" ref="Q59" si="21">P59*-MAX(C48:C59)</f>
        <v>-11979</v>
      </c>
      <c r="R59" s="89">
        <f t="shared" ref="R59" si="22">INT(R$1/MIN(D48:D59))</f>
        <v>607</v>
      </c>
      <c r="S59" s="89">
        <f t="shared" ref="S59" si="23">R59*-MIN(D48:D59)</f>
        <v>-11994.320000000002</v>
      </c>
    </row>
    <row r="60" spans="1:19" hidden="1" x14ac:dyDescent="0.4">
      <c r="A60" s="87" t="s">
        <v>48</v>
      </c>
      <c r="B60" s="88">
        <v>30.08</v>
      </c>
      <c r="C60" s="88">
        <v>31.469999000000001</v>
      </c>
      <c r="D60" s="88">
        <v>29.309999000000001</v>
      </c>
      <c r="E60" s="88">
        <v>29.950001</v>
      </c>
      <c r="F60" s="89">
        <f t="shared" si="6"/>
        <v>33</v>
      </c>
      <c r="G60" s="89">
        <f t="shared" si="2"/>
        <v>-992.64</v>
      </c>
      <c r="H60" s="89">
        <f t="shared" si="7"/>
        <v>33</v>
      </c>
      <c r="I60" s="89">
        <f t="shared" si="8"/>
        <v>-988.35003300000005</v>
      </c>
      <c r="J60" s="89">
        <f t="shared" si="3"/>
        <v>31</v>
      </c>
      <c r="K60" s="89">
        <f t="shared" si="4"/>
        <v>-975.56996900000001</v>
      </c>
      <c r="L60" s="89">
        <f t="shared" si="9"/>
        <v>34</v>
      </c>
      <c r="M60" s="89">
        <f t="shared" si="10"/>
        <v>-996.53996600000005</v>
      </c>
      <c r="N60" s="89"/>
      <c r="O60" s="89"/>
      <c r="P60" s="89"/>
      <c r="Q60" s="89"/>
      <c r="R60" s="89"/>
      <c r="S60" s="89"/>
    </row>
    <row r="61" spans="1:19" hidden="1" x14ac:dyDescent="0.4">
      <c r="A61" s="87" t="s">
        <v>49</v>
      </c>
      <c r="B61" s="88">
        <v>29.700001</v>
      </c>
      <c r="C61" s="88">
        <v>32.75</v>
      </c>
      <c r="D61" s="88">
        <v>29.26</v>
      </c>
      <c r="E61" s="88">
        <v>31.799999</v>
      </c>
      <c r="F61" s="89">
        <f t="shared" si="6"/>
        <v>33</v>
      </c>
      <c r="G61" s="89">
        <f t="shared" si="2"/>
        <v>-980.10003300000005</v>
      </c>
      <c r="H61" s="89">
        <f t="shared" si="7"/>
        <v>31</v>
      </c>
      <c r="I61" s="89">
        <f t="shared" si="8"/>
        <v>-985.79996900000003</v>
      </c>
      <c r="J61" s="89">
        <f t="shared" si="3"/>
        <v>30</v>
      </c>
      <c r="K61" s="89">
        <f t="shared" si="4"/>
        <v>-982.5</v>
      </c>
      <c r="L61" s="89">
        <f t="shared" si="9"/>
        <v>34</v>
      </c>
      <c r="M61" s="89">
        <f t="shared" si="10"/>
        <v>-994.84</v>
      </c>
      <c r="N61" s="89"/>
      <c r="O61" s="89"/>
      <c r="P61" s="89"/>
      <c r="Q61" s="89"/>
      <c r="R61" s="89"/>
      <c r="S61" s="89"/>
    </row>
    <row r="62" spans="1:19" hidden="1" x14ac:dyDescent="0.4">
      <c r="A62" s="87" t="s">
        <v>50</v>
      </c>
      <c r="B62" s="88">
        <v>31.690000999999999</v>
      </c>
      <c r="C62" s="88">
        <v>33.459999000000003</v>
      </c>
      <c r="D62" s="88">
        <v>29.93</v>
      </c>
      <c r="E62" s="88">
        <v>33.389999000000003</v>
      </c>
      <c r="F62" s="89">
        <f t="shared" si="6"/>
        <v>31</v>
      </c>
      <c r="G62" s="89">
        <f t="shared" si="2"/>
        <v>-982.39003099999991</v>
      </c>
      <c r="H62" s="89">
        <f t="shared" si="7"/>
        <v>29</v>
      </c>
      <c r="I62" s="89">
        <f t="shared" si="8"/>
        <v>-968.30997100000013</v>
      </c>
      <c r="J62" s="89">
        <f t="shared" si="3"/>
        <v>29</v>
      </c>
      <c r="K62" s="89">
        <f t="shared" si="4"/>
        <v>-970.33997100000011</v>
      </c>
      <c r="L62" s="89">
        <f t="shared" si="9"/>
        <v>33</v>
      </c>
      <c r="M62" s="89">
        <f t="shared" si="10"/>
        <v>-987.68999999999994</v>
      </c>
      <c r="N62" s="89"/>
      <c r="O62" s="89"/>
      <c r="P62" s="89"/>
      <c r="Q62" s="89"/>
      <c r="R62" s="89"/>
      <c r="S62" s="89"/>
    </row>
    <row r="63" spans="1:19" hidden="1" x14ac:dyDescent="0.4">
      <c r="A63" s="87" t="s">
        <v>51</v>
      </c>
      <c r="B63" s="88">
        <v>33.490001999999997</v>
      </c>
      <c r="C63" s="88">
        <v>34.860000999999997</v>
      </c>
      <c r="D63" s="88">
        <v>32.360000999999997</v>
      </c>
      <c r="E63" s="88">
        <v>32.419998</v>
      </c>
      <c r="F63" s="89">
        <f t="shared" si="6"/>
        <v>29</v>
      </c>
      <c r="G63" s="89">
        <f t="shared" si="2"/>
        <v>-971.21005799999989</v>
      </c>
      <c r="H63" s="89">
        <f t="shared" si="7"/>
        <v>30</v>
      </c>
      <c r="I63" s="89">
        <f t="shared" si="8"/>
        <v>-972.59993999999995</v>
      </c>
      <c r="J63" s="89">
        <f t="shared" si="3"/>
        <v>28</v>
      </c>
      <c r="K63" s="89">
        <f t="shared" si="4"/>
        <v>-976.08002799999986</v>
      </c>
      <c r="L63" s="89">
        <f t="shared" si="9"/>
        <v>30</v>
      </c>
      <c r="M63" s="89">
        <f t="shared" si="10"/>
        <v>-970.80002999999988</v>
      </c>
      <c r="N63" s="89"/>
      <c r="O63" s="89"/>
      <c r="P63" s="89"/>
      <c r="Q63" s="89"/>
      <c r="R63" s="89"/>
      <c r="S63" s="89"/>
    </row>
    <row r="64" spans="1:19" hidden="1" x14ac:dyDescent="0.4">
      <c r="A64" s="87" t="s">
        <v>52</v>
      </c>
      <c r="B64" s="88">
        <v>32.610000999999997</v>
      </c>
      <c r="C64" s="88">
        <v>36</v>
      </c>
      <c r="D64" s="88">
        <v>32.419998</v>
      </c>
      <c r="E64" s="88">
        <v>35.18</v>
      </c>
      <c r="F64" s="89">
        <f t="shared" si="6"/>
        <v>30</v>
      </c>
      <c r="G64" s="89">
        <f t="shared" si="2"/>
        <v>-978.30002999999988</v>
      </c>
      <c r="H64" s="89">
        <f t="shared" si="7"/>
        <v>28</v>
      </c>
      <c r="I64" s="89">
        <f t="shared" si="8"/>
        <v>-985.04</v>
      </c>
      <c r="J64" s="89">
        <f t="shared" si="3"/>
        <v>27</v>
      </c>
      <c r="K64" s="89">
        <f t="shared" si="4"/>
        <v>-972</v>
      </c>
      <c r="L64" s="89">
        <f t="shared" si="9"/>
        <v>30</v>
      </c>
      <c r="M64" s="89">
        <f t="shared" si="10"/>
        <v>-972.59993999999995</v>
      </c>
      <c r="N64" s="89"/>
      <c r="O64" s="89"/>
      <c r="P64" s="89"/>
      <c r="Q64" s="89"/>
      <c r="R64" s="89"/>
      <c r="S64" s="89"/>
    </row>
    <row r="65" spans="1:19" hidden="1" x14ac:dyDescent="0.4">
      <c r="A65" s="87" t="s">
        <v>53</v>
      </c>
      <c r="B65" s="88">
        <v>35.43</v>
      </c>
      <c r="C65" s="88">
        <v>36.18</v>
      </c>
      <c r="D65" s="88">
        <v>33.729999999999997</v>
      </c>
      <c r="E65" s="88">
        <v>35.380001</v>
      </c>
      <c r="F65" s="89">
        <f t="shared" si="6"/>
        <v>28</v>
      </c>
      <c r="G65" s="89">
        <f t="shared" si="2"/>
        <v>-992.04</v>
      </c>
      <c r="H65" s="89">
        <f t="shared" si="7"/>
        <v>28</v>
      </c>
      <c r="I65" s="89">
        <f t="shared" si="8"/>
        <v>-990.64002800000003</v>
      </c>
      <c r="J65" s="89">
        <f t="shared" si="3"/>
        <v>27</v>
      </c>
      <c r="K65" s="89">
        <f t="shared" si="4"/>
        <v>-976.86</v>
      </c>
      <c r="L65" s="89">
        <f t="shared" si="9"/>
        <v>29</v>
      </c>
      <c r="M65" s="89">
        <f t="shared" si="10"/>
        <v>-978.17</v>
      </c>
      <c r="N65" s="89"/>
      <c r="O65" s="89"/>
      <c r="P65" s="89"/>
      <c r="Q65" s="89"/>
      <c r="R65" s="89"/>
      <c r="S65" s="89"/>
    </row>
    <row r="66" spans="1:19" hidden="1" x14ac:dyDescent="0.4">
      <c r="A66" s="87" t="s">
        <v>54</v>
      </c>
      <c r="B66" s="88">
        <v>35.709999000000003</v>
      </c>
      <c r="C66" s="88">
        <v>36.639999000000003</v>
      </c>
      <c r="D66" s="88">
        <v>34.130001</v>
      </c>
      <c r="E66" s="88">
        <v>36.459999000000003</v>
      </c>
      <c r="F66" s="89">
        <f t="shared" si="6"/>
        <v>28</v>
      </c>
      <c r="G66" s="89">
        <f t="shared" si="2"/>
        <v>-999.87997200000007</v>
      </c>
      <c r="H66" s="89">
        <f t="shared" si="7"/>
        <v>27</v>
      </c>
      <c r="I66" s="89">
        <f t="shared" si="8"/>
        <v>-984.41997300000014</v>
      </c>
      <c r="J66" s="89">
        <f t="shared" si="3"/>
        <v>27</v>
      </c>
      <c r="K66" s="89">
        <f t="shared" si="4"/>
        <v>-989.27997300000004</v>
      </c>
      <c r="L66" s="89">
        <f t="shared" si="9"/>
        <v>29</v>
      </c>
      <c r="M66" s="89">
        <f t="shared" si="10"/>
        <v>-989.77002900000002</v>
      </c>
      <c r="N66" s="89"/>
      <c r="O66" s="89"/>
      <c r="P66" s="89"/>
      <c r="Q66" s="89"/>
      <c r="R66" s="89"/>
      <c r="S66" s="89"/>
    </row>
    <row r="67" spans="1:19" hidden="1" x14ac:dyDescent="0.4">
      <c r="A67" s="87" t="s">
        <v>55</v>
      </c>
      <c r="B67" s="88">
        <v>36.659999999999997</v>
      </c>
      <c r="C67" s="88">
        <v>39</v>
      </c>
      <c r="D67" s="88">
        <v>36.220001000000003</v>
      </c>
      <c r="E67" s="88">
        <v>37.07</v>
      </c>
      <c r="F67" s="89">
        <f t="shared" si="6"/>
        <v>27</v>
      </c>
      <c r="G67" s="89">
        <f t="shared" si="2"/>
        <v>-989.81999999999994</v>
      </c>
      <c r="H67" s="89">
        <f t="shared" si="7"/>
        <v>26</v>
      </c>
      <c r="I67" s="89">
        <f t="shared" si="8"/>
        <v>-963.82</v>
      </c>
      <c r="J67" s="89">
        <f t="shared" si="3"/>
        <v>25</v>
      </c>
      <c r="K67" s="89">
        <f t="shared" si="4"/>
        <v>-975</v>
      </c>
      <c r="L67" s="89">
        <f t="shared" si="9"/>
        <v>27</v>
      </c>
      <c r="M67" s="89">
        <f t="shared" si="10"/>
        <v>-977.9400270000001</v>
      </c>
      <c r="N67" s="89"/>
      <c r="O67" s="89"/>
      <c r="P67" s="89"/>
      <c r="Q67" s="89"/>
      <c r="R67" s="89"/>
      <c r="S67" s="89"/>
    </row>
    <row r="68" spans="1:19" hidden="1" x14ac:dyDescent="0.4">
      <c r="A68" s="87" t="s">
        <v>56</v>
      </c>
      <c r="B68" s="88">
        <v>37.200001</v>
      </c>
      <c r="C68" s="88">
        <v>37.970001000000003</v>
      </c>
      <c r="D68" s="88">
        <v>36.099997999999999</v>
      </c>
      <c r="E68" s="88">
        <v>36.57</v>
      </c>
      <c r="F68" s="89">
        <f t="shared" si="6"/>
        <v>26</v>
      </c>
      <c r="G68" s="89">
        <f t="shared" si="2"/>
        <v>-967.20002599999998</v>
      </c>
      <c r="H68" s="89">
        <f t="shared" si="7"/>
        <v>27</v>
      </c>
      <c r="I68" s="89">
        <f t="shared" si="8"/>
        <v>-987.39</v>
      </c>
      <c r="J68" s="89">
        <f t="shared" si="3"/>
        <v>26</v>
      </c>
      <c r="K68" s="89">
        <f t="shared" si="4"/>
        <v>-987.22002600000008</v>
      </c>
      <c r="L68" s="89">
        <f t="shared" si="9"/>
        <v>27</v>
      </c>
      <c r="M68" s="89">
        <f t="shared" si="10"/>
        <v>-974.69994599999995</v>
      </c>
      <c r="N68" s="89"/>
      <c r="O68" s="89"/>
      <c r="P68" s="89"/>
      <c r="Q68" s="89"/>
      <c r="R68" s="89"/>
      <c r="S68" s="89"/>
    </row>
    <row r="69" spans="1:19" hidden="1" x14ac:dyDescent="0.4">
      <c r="A69" s="87" t="s">
        <v>57</v>
      </c>
      <c r="B69" s="88">
        <v>36.68</v>
      </c>
      <c r="C69" s="88">
        <v>37.18</v>
      </c>
      <c r="D69" s="88">
        <v>34.009998000000003</v>
      </c>
      <c r="E69" s="88">
        <v>35.840000000000003</v>
      </c>
      <c r="F69" s="89">
        <f t="shared" si="6"/>
        <v>27</v>
      </c>
      <c r="G69" s="89">
        <f t="shared" si="2"/>
        <v>-990.36</v>
      </c>
      <c r="H69" s="89">
        <f t="shared" si="7"/>
        <v>27</v>
      </c>
      <c r="I69" s="89">
        <f t="shared" si="8"/>
        <v>-967.68000000000006</v>
      </c>
      <c r="J69" s="89">
        <f t="shared" si="3"/>
        <v>26</v>
      </c>
      <c r="K69" s="89">
        <f t="shared" si="4"/>
        <v>-966.68</v>
      </c>
      <c r="L69" s="89">
        <f t="shared" si="9"/>
        <v>29</v>
      </c>
      <c r="M69" s="89">
        <f t="shared" si="10"/>
        <v>-986.28994200000011</v>
      </c>
      <c r="N69" s="89"/>
      <c r="O69" s="89"/>
      <c r="P69" s="89"/>
      <c r="Q69" s="89"/>
      <c r="R69" s="89"/>
      <c r="S69" s="89"/>
    </row>
    <row r="70" spans="1:19" hidden="1" x14ac:dyDescent="0.4">
      <c r="A70" s="87" t="s">
        <v>58</v>
      </c>
      <c r="B70" s="88">
        <v>35.810001</v>
      </c>
      <c r="C70" s="88">
        <v>37.5</v>
      </c>
      <c r="D70" s="88">
        <v>34.720001000000003</v>
      </c>
      <c r="E70" s="88">
        <v>34.770000000000003</v>
      </c>
      <c r="F70" s="89">
        <f t="shared" si="6"/>
        <v>27</v>
      </c>
      <c r="G70" s="89">
        <f t="shared" si="2"/>
        <v>-966.87002699999994</v>
      </c>
      <c r="H70" s="89">
        <f t="shared" si="7"/>
        <v>28</v>
      </c>
      <c r="I70" s="89">
        <f t="shared" si="8"/>
        <v>-973.56000000000006</v>
      </c>
      <c r="J70" s="89">
        <f t="shared" si="3"/>
        <v>26</v>
      </c>
      <c r="K70" s="89">
        <f t="shared" si="4"/>
        <v>-975</v>
      </c>
      <c r="L70" s="89">
        <f t="shared" si="9"/>
        <v>28</v>
      </c>
      <c r="M70" s="89">
        <f t="shared" si="10"/>
        <v>-972.16002800000012</v>
      </c>
      <c r="N70" s="89"/>
      <c r="O70" s="89"/>
      <c r="P70" s="89"/>
      <c r="Q70" s="89"/>
      <c r="R70" s="89"/>
      <c r="S70" s="89"/>
    </row>
    <row r="71" spans="1:19" hidden="1" x14ac:dyDescent="0.4">
      <c r="A71" s="87" t="s">
        <v>59</v>
      </c>
      <c r="B71" s="88">
        <v>35</v>
      </c>
      <c r="C71" s="88">
        <v>36.549999</v>
      </c>
      <c r="D71" s="88">
        <v>34.110000999999997</v>
      </c>
      <c r="E71" s="88">
        <v>36.549999</v>
      </c>
      <c r="F71" s="89">
        <f t="shared" si="6"/>
        <v>28</v>
      </c>
      <c r="G71" s="89">
        <f t="shared" si="2"/>
        <v>-980</v>
      </c>
      <c r="H71" s="89">
        <f t="shared" si="7"/>
        <v>27</v>
      </c>
      <c r="I71" s="89">
        <f t="shared" si="8"/>
        <v>-986.84997299999998</v>
      </c>
      <c r="J71" s="89">
        <f t="shared" si="3"/>
        <v>27</v>
      </c>
      <c r="K71" s="89">
        <f t="shared" si="4"/>
        <v>-986.84997299999998</v>
      </c>
      <c r="L71" s="89">
        <f t="shared" si="9"/>
        <v>29</v>
      </c>
      <c r="M71" s="89">
        <f t="shared" si="10"/>
        <v>-989.19002899999987</v>
      </c>
      <c r="N71" s="89"/>
      <c r="O71" s="89"/>
      <c r="P71" s="89">
        <f t="shared" ref="P71" si="24">INT(P$1/MAX(C60:C71))</f>
        <v>307</v>
      </c>
      <c r="Q71" s="89">
        <f t="shared" ref="Q71" si="25">P71*-MAX(C60:C71)</f>
        <v>-11973</v>
      </c>
      <c r="R71" s="89">
        <f t="shared" ref="R71" si="26">INT(R$1/MIN(D60:D71))</f>
        <v>410</v>
      </c>
      <c r="S71" s="89">
        <f t="shared" ref="S71" si="27">R71*-MIN(D60:D71)</f>
        <v>-11996.6</v>
      </c>
    </row>
    <row r="72" spans="1:19" hidden="1" x14ac:dyDescent="0.4">
      <c r="A72" s="87" t="s">
        <v>60</v>
      </c>
      <c r="B72" s="88">
        <v>36.270000000000003</v>
      </c>
      <c r="C72" s="88">
        <v>37.900002000000001</v>
      </c>
      <c r="D72" s="88">
        <v>35.82</v>
      </c>
      <c r="E72" s="88">
        <v>37.740001999999997</v>
      </c>
      <c r="F72" s="89">
        <f t="shared" si="6"/>
        <v>27</v>
      </c>
      <c r="G72" s="89">
        <f t="shared" si="2"/>
        <v>-979.29000000000008</v>
      </c>
      <c r="H72" s="89">
        <f t="shared" si="7"/>
        <v>26</v>
      </c>
      <c r="I72" s="89">
        <f t="shared" si="8"/>
        <v>-981.24005199999988</v>
      </c>
      <c r="J72" s="89">
        <f t="shared" si="3"/>
        <v>26</v>
      </c>
      <c r="K72" s="89">
        <f t="shared" si="4"/>
        <v>-985.40005199999996</v>
      </c>
      <c r="L72" s="89">
        <f t="shared" si="9"/>
        <v>27</v>
      </c>
      <c r="M72" s="89">
        <f t="shared" si="10"/>
        <v>-967.14</v>
      </c>
      <c r="N72" s="89"/>
      <c r="O72" s="89"/>
      <c r="P72" s="89"/>
      <c r="Q72" s="89"/>
      <c r="R72" s="89"/>
      <c r="S72" s="89"/>
    </row>
    <row r="73" spans="1:19" hidden="1" x14ac:dyDescent="0.4">
      <c r="A73" s="87" t="s">
        <v>61</v>
      </c>
      <c r="B73" s="88">
        <v>37.659999999999997</v>
      </c>
      <c r="C73" s="88">
        <v>37.659999999999997</v>
      </c>
      <c r="D73" s="88">
        <v>33.700001</v>
      </c>
      <c r="E73" s="88">
        <v>34.889999000000003</v>
      </c>
      <c r="F73" s="89">
        <f t="shared" si="6"/>
        <v>26</v>
      </c>
      <c r="G73" s="89">
        <f t="shared" si="2"/>
        <v>-979.15999999999985</v>
      </c>
      <c r="H73" s="89">
        <f t="shared" si="7"/>
        <v>28</v>
      </c>
      <c r="I73" s="89">
        <f t="shared" si="8"/>
        <v>-976.91997200000014</v>
      </c>
      <c r="J73" s="89">
        <f t="shared" si="3"/>
        <v>26</v>
      </c>
      <c r="K73" s="89">
        <f t="shared" si="4"/>
        <v>-979.15999999999985</v>
      </c>
      <c r="L73" s="89">
        <f t="shared" si="9"/>
        <v>29</v>
      </c>
      <c r="M73" s="89">
        <f t="shared" si="10"/>
        <v>-977.30002899999999</v>
      </c>
      <c r="N73" s="89"/>
      <c r="O73" s="89"/>
      <c r="P73" s="89"/>
      <c r="Q73" s="89"/>
      <c r="R73" s="89"/>
      <c r="S73" s="89"/>
    </row>
    <row r="74" spans="1:19" hidden="1" x14ac:dyDescent="0.4">
      <c r="A74" s="87" t="s">
        <v>62</v>
      </c>
      <c r="B74" s="88">
        <v>34.610000999999997</v>
      </c>
      <c r="C74" s="88">
        <v>35.020000000000003</v>
      </c>
      <c r="D74" s="88">
        <v>32.349997999999999</v>
      </c>
      <c r="E74" s="88">
        <v>34.020000000000003</v>
      </c>
      <c r="F74" s="89">
        <f t="shared" si="6"/>
        <v>28</v>
      </c>
      <c r="G74" s="89">
        <f t="shared" si="2"/>
        <v>-969.08002799999986</v>
      </c>
      <c r="H74" s="89">
        <f t="shared" si="7"/>
        <v>29</v>
      </c>
      <c r="I74" s="89">
        <f t="shared" si="8"/>
        <v>-986.58</v>
      </c>
      <c r="J74" s="89">
        <f t="shared" si="3"/>
        <v>28</v>
      </c>
      <c r="K74" s="89">
        <f t="shared" si="4"/>
        <v>-980.56000000000006</v>
      </c>
      <c r="L74" s="89">
        <f t="shared" si="9"/>
        <v>30</v>
      </c>
      <c r="M74" s="89">
        <f t="shared" si="10"/>
        <v>-970.49993999999992</v>
      </c>
      <c r="N74" s="89"/>
      <c r="O74" s="89"/>
      <c r="P74" s="89"/>
      <c r="Q74" s="89"/>
      <c r="R74" s="89"/>
      <c r="S74" s="89"/>
    </row>
    <row r="75" spans="1:19" hidden="1" x14ac:dyDescent="0.4">
      <c r="A75" s="87" t="s">
        <v>63</v>
      </c>
      <c r="B75" s="88">
        <v>33.93</v>
      </c>
      <c r="C75" s="88">
        <v>35.849997999999999</v>
      </c>
      <c r="D75" s="88">
        <v>33.799999</v>
      </c>
      <c r="E75" s="88">
        <v>35.139999000000003</v>
      </c>
      <c r="F75" s="89">
        <f t="shared" si="6"/>
        <v>29</v>
      </c>
      <c r="G75" s="89">
        <f t="shared" si="2"/>
        <v>-983.97</v>
      </c>
      <c r="H75" s="89">
        <f t="shared" si="7"/>
        <v>28</v>
      </c>
      <c r="I75" s="89">
        <f t="shared" si="8"/>
        <v>-983.91997200000014</v>
      </c>
      <c r="J75" s="89">
        <f t="shared" si="3"/>
        <v>27</v>
      </c>
      <c r="K75" s="89">
        <f t="shared" si="4"/>
        <v>-967.94994599999995</v>
      </c>
      <c r="L75" s="89">
        <f t="shared" si="9"/>
        <v>29</v>
      </c>
      <c r="M75" s="89">
        <f t="shared" si="10"/>
        <v>-980.19997100000001</v>
      </c>
      <c r="N75" s="89"/>
      <c r="O75" s="89"/>
      <c r="P75" s="89"/>
      <c r="Q75" s="89"/>
      <c r="R75" s="89"/>
      <c r="S75" s="89"/>
    </row>
    <row r="76" spans="1:19" hidden="1" x14ac:dyDescent="0.4">
      <c r="A76" s="87" t="s">
        <v>64</v>
      </c>
      <c r="B76" s="88">
        <v>35.450001</v>
      </c>
      <c r="C76" s="88">
        <v>37.240001999999997</v>
      </c>
      <c r="D76" s="88">
        <v>35.200001</v>
      </c>
      <c r="E76" s="88">
        <v>36.900002000000001</v>
      </c>
      <c r="F76" s="89">
        <f t="shared" si="6"/>
        <v>28</v>
      </c>
      <c r="G76" s="89">
        <f t="shared" ref="G76:G139" si="28">-F76*B76</f>
        <v>-992.60002800000007</v>
      </c>
      <c r="H76" s="89">
        <f t="shared" si="7"/>
        <v>27</v>
      </c>
      <c r="I76" s="89">
        <f t="shared" si="8"/>
        <v>-996.30005400000005</v>
      </c>
      <c r="J76" s="89">
        <f t="shared" ref="J76:J139" si="29">INT(J$1/$C76)</f>
        <v>26</v>
      </c>
      <c r="K76" s="89">
        <f t="shared" ref="K76:K139" si="30">-J76*$C76</f>
        <v>-968.24005199999988</v>
      </c>
      <c r="L76" s="89">
        <f t="shared" si="9"/>
        <v>28</v>
      </c>
      <c r="M76" s="89">
        <f t="shared" si="10"/>
        <v>-985.60002800000007</v>
      </c>
      <c r="N76" s="89"/>
      <c r="O76" s="89"/>
      <c r="P76" s="89"/>
      <c r="Q76" s="89"/>
      <c r="R76" s="89"/>
      <c r="S76" s="89"/>
    </row>
    <row r="77" spans="1:19" hidden="1" x14ac:dyDescent="0.4">
      <c r="A77" s="87" t="s">
        <v>65</v>
      </c>
      <c r="B77" s="88">
        <v>36.979999999999997</v>
      </c>
      <c r="C77" s="88">
        <v>39.639999000000003</v>
      </c>
      <c r="D77" s="88">
        <v>36.799999</v>
      </c>
      <c r="E77" s="88">
        <v>39.119999</v>
      </c>
      <c r="F77" s="89">
        <f t="shared" ref="F77:F140" si="31">INT(F$1/$B77)</f>
        <v>27</v>
      </c>
      <c r="G77" s="89">
        <f t="shared" si="28"/>
        <v>-998.45999999999992</v>
      </c>
      <c r="H77" s="89">
        <f t="shared" ref="H77:H140" si="32">INT(H$1/$E77)</f>
        <v>25</v>
      </c>
      <c r="I77" s="89">
        <f t="shared" ref="I77:I140" si="33">-H77*$E77</f>
        <v>-977.99997499999995</v>
      </c>
      <c r="J77" s="89">
        <f t="shared" si="29"/>
        <v>25</v>
      </c>
      <c r="K77" s="89">
        <f t="shared" si="30"/>
        <v>-990.99997500000006</v>
      </c>
      <c r="L77" s="89">
        <f t="shared" ref="L77:L140" si="34">INT(L$1/$D77)</f>
        <v>27</v>
      </c>
      <c r="M77" s="89">
        <f t="shared" ref="M77:M140" si="35">-L77*$D77</f>
        <v>-993.59997299999998</v>
      </c>
      <c r="N77" s="89"/>
      <c r="O77" s="89"/>
      <c r="P77" s="89"/>
      <c r="Q77" s="89"/>
      <c r="R77" s="89"/>
      <c r="S77" s="89"/>
    </row>
    <row r="78" spans="1:19" hidden="1" x14ac:dyDescent="0.4">
      <c r="A78" s="87" t="s">
        <v>66</v>
      </c>
      <c r="B78" s="88">
        <v>39.270000000000003</v>
      </c>
      <c r="C78" s="88">
        <v>40.68</v>
      </c>
      <c r="D78" s="88">
        <v>39.090000000000003</v>
      </c>
      <c r="E78" s="88">
        <v>39.919998</v>
      </c>
      <c r="F78" s="89">
        <f t="shared" si="31"/>
        <v>25</v>
      </c>
      <c r="G78" s="89">
        <f t="shared" si="28"/>
        <v>-981.75000000000011</v>
      </c>
      <c r="H78" s="89">
        <f t="shared" si="32"/>
        <v>25</v>
      </c>
      <c r="I78" s="89">
        <f t="shared" si="33"/>
        <v>-997.99995000000001</v>
      </c>
      <c r="J78" s="89">
        <f t="shared" si="29"/>
        <v>24</v>
      </c>
      <c r="K78" s="89">
        <f t="shared" si="30"/>
        <v>-976.31999999999994</v>
      </c>
      <c r="L78" s="89">
        <f t="shared" si="34"/>
        <v>25</v>
      </c>
      <c r="M78" s="89">
        <f t="shared" si="35"/>
        <v>-977.25000000000011</v>
      </c>
      <c r="N78" s="89"/>
      <c r="O78" s="89"/>
      <c r="P78" s="89"/>
      <c r="Q78" s="89"/>
      <c r="R78" s="89"/>
      <c r="S78" s="89"/>
    </row>
    <row r="79" spans="1:19" hidden="1" x14ac:dyDescent="0.4">
      <c r="A79" s="87" t="s">
        <v>67</v>
      </c>
      <c r="B79" s="88">
        <v>40.090000000000003</v>
      </c>
      <c r="C79" s="88">
        <v>40.290000999999997</v>
      </c>
      <c r="D79" s="88">
        <v>36.459999000000003</v>
      </c>
      <c r="E79" s="88">
        <v>37.400002000000001</v>
      </c>
      <c r="F79" s="89">
        <f t="shared" si="31"/>
        <v>24</v>
      </c>
      <c r="G79" s="89">
        <f t="shared" si="28"/>
        <v>-962.16000000000008</v>
      </c>
      <c r="H79" s="89">
        <f t="shared" si="32"/>
        <v>26</v>
      </c>
      <c r="I79" s="89">
        <f t="shared" si="33"/>
        <v>-972.40005199999996</v>
      </c>
      <c r="J79" s="89">
        <f t="shared" si="29"/>
        <v>24</v>
      </c>
      <c r="K79" s="89">
        <f t="shared" si="30"/>
        <v>-966.96002399999998</v>
      </c>
      <c r="L79" s="89">
        <f t="shared" si="34"/>
        <v>27</v>
      </c>
      <c r="M79" s="89">
        <f t="shared" si="35"/>
        <v>-984.41997300000014</v>
      </c>
      <c r="N79" s="89"/>
      <c r="O79" s="89"/>
      <c r="P79" s="89"/>
      <c r="Q79" s="89"/>
      <c r="R79" s="89"/>
      <c r="S79" s="89"/>
    </row>
    <row r="80" spans="1:19" hidden="1" x14ac:dyDescent="0.4">
      <c r="A80" s="87" t="s">
        <v>68</v>
      </c>
      <c r="B80" s="88">
        <v>37.490001999999997</v>
      </c>
      <c r="C80" s="88">
        <v>38.479999999999997</v>
      </c>
      <c r="D80" s="88">
        <v>36.700001</v>
      </c>
      <c r="E80" s="88">
        <v>37.220001000000003</v>
      </c>
      <c r="F80" s="89">
        <f t="shared" si="31"/>
        <v>26</v>
      </c>
      <c r="G80" s="89">
        <f t="shared" si="28"/>
        <v>-974.74005199999988</v>
      </c>
      <c r="H80" s="89">
        <f t="shared" si="32"/>
        <v>26</v>
      </c>
      <c r="I80" s="89">
        <f t="shared" si="33"/>
        <v>-967.72002600000008</v>
      </c>
      <c r="J80" s="89">
        <f t="shared" si="29"/>
        <v>25</v>
      </c>
      <c r="K80" s="89">
        <f t="shared" si="30"/>
        <v>-961.99999999999989</v>
      </c>
      <c r="L80" s="89">
        <f t="shared" si="34"/>
        <v>27</v>
      </c>
      <c r="M80" s="89">
        <f t="shared" si="35"/>
        <v>-990.90002700000002</v>
      </c>
      <c r="N80" s="89"/>
      <c r="O80" s="89"/>
      <c r="P80" s="89"/>
      <c r="Q80" s="89"/>
      <c r="R80" s="89"/>
      <c r="S80" s="89"/>
    </row>
    <row r="81" spans="1:19" hidden="1" x14ac:dyDescent="0.4">
      <c r="A81" s="87" t="s">
        <v>69</v>
      </c>
      <c r="B81" s="88">
        <v>37.369999</v>
      </c>
      <c r="C81" s="88">
        <v>38.290000999999997</v>
      </c>
      <c r="D81" s="88">
        <v>35.939999</v>
      </c>
      <c r="E81" s="88">
        <v>36.57</v>
      </c>
      <c r="F81" s="89">
        <f t="shared" si="31"/>
        <v>26</v>
      </c>
      <c r="G81" s="89">
        <f t="shared" si="28"/>
        <v>-971.61997399999996</v>
      </c>
      <c r="H81" s="89">
        <f t="shared" si="32"/>
        <v>27</v>
      </c>
      <c r="I81" s="89">
        <f t="shared" si="33"/>
        <v>-987.39</v>
      </c>
      <c r="J81" s="89">
        <f t="shared" si="29"/>
        <v>26</v>
      </c>
      <c r="K81" s="89">
        <f t="shared" si="30"/>
        <v>-995.5400259999999</v>
      </c>
      <c r="L81" s="89">
        <f t="shared" si="34"/>
        <v>27</v>
      </c>
      <c r="M81" s="89">
        <f t="shared" si="35"/>
        <v>-970.37997300000006</v>
      </c>
      <c r="N81" s="89"/>
      <c r="O81" s="89"/>
      <c r="P81" s="89"/>
      <c r="Q81" s="89"/>
      <c r="R81" s="89"/>
      <c r="S81" s="89"/>
    </row>
    <row r="82" spans="1:19" hidden="1" x14ac:dyDescent="0.4">
      <c r="A82" s="87" t="s">
        <v>70</v>
      </c>
      <c r="B82" s="88">
        <v>36.82</v>
      </c>
      <c r="C82" s="88">
        <v>37.07</v>
      </c>
      <c r="D82" s="88">
        <v>34.349997999999999</v>
      </c>
      <c r="E82" s="88">
        <v>34.979999999999997</v>
      </c>
      <c r="F82" s="89">
        <f t="shared" si="31"/>
        <v>27</v>
      </c>
      <c r="G82" s="89">
        <f t="shared" si="28"/>
        <v>-994.14</v>
      </c>
      <c r="H82" s="89">
        <f t="shared" si="32"/>
        <v>28</v>
      </c>
      <c r="I82" s="89">
        <f t="shared" si="33"/>
        <v>-979.43999999999994</v>
      </c>
      <c r="J82" s="89">
        <f t="shared" si="29"/>
        <v>26</v>
      </c>
      <c r="K82" s="89">
        <f t="shared" si="30"/>
        <v>-963.82</v>
      </c>
      <c r="L82" s="89">
        <f t="shared" si="34"/>
        <v>29</v>
      </c>
      <c r="M82" s="89">
        <f t="shared" si="35"/>
        <v>-996.14994200000001</v>
      </c>
      <c r="N82" s="89"/>
      <c r="O82" s="89"/>
      <c r="P82" s="89"/>
      <c r="Q82" s="89"/>
      <c r="R82" s="89"/>
      <c r="S82" s="89"/>
    </row>
    <row r="83" spans="1:19" hidden="1" x14ac:dyDescent="0.4">
      <c r="A83" s="87" t="s">
        <v>71</v>
      </c>
      <c r="B83" s="88">
        <v>35.099997999999999</v>
      </c>
      <c r="C83" s="88">
        <v>38.270000000000003</v>
      </c>
      <c r="D83" s="88">
        <v>34.889999000000003</v>
      </c>
      <c r="E83" s="88">
        <v>38.080002</v>
      </c>
      <c r="F83" s="89">
        <f t="shared" si="31"/>
        <v>28</v>
      </c>
      <c r="G83" s="89">
        <f t="shared" si="28"/>
        <v>-982.79994399999998</v>
      </c>
      <c r="H83" s="89">
        <f t="shared" si="32"/>
        <v>26</v>
      </c>
      <c r="I83" s="89">
        <f t="shared" si="33"/>
        <v>-990.08005200000002</v>
      </c>
      <c r="J83" s="89">
        <f t="shared" si="29"/>
        <v>26</v>
      </c>
      <c r="K83" s="89">
        <f t="shared" si="30"/>
        <v>-995.0200000000001</v>
      </c>
      <c r="L83" s="89">
        <f t="shared" si="34"/>
        <v>28</v>
      </c>
      <c r="M83" s="89">
        <f t="shared" si="35"/>
        <v>-976.91997200000014</v>
      </c>
      <c r="N83" s="89"/>
      <c r="O83" s="89"/>
      <c r="P83" s="89">
        <f t="shared" ref="P83" si="36">INT(P$1/MAX(C72:C83))</f>
        <v>294</v>
      </c>
      <c r="Q83" s="89">
        <f t="shared" ref="Q83" si="37">P83*-MAX(C72:C83)</f>
        <v>-11959.92</v>
      </c>
      <c r="R83" s="89">
        <f t="shared" ref="R83" si="38">INT(R$1/MIN(D72:D83))</f>
        <v>370</v>
      </c>
      <c r="S83" s="89">
        <f t="shared" ref="S83" si="39">R83*-MIN(D72:D83)</f>
        <v>-11969.499260000001</v>
      </c>
    </row>
    <row r="84" spans="1:19" hidden="1" x14ac:dyDescent="0.4">
      <c r="A84" s="87" t="s">
        <v>72</v>
      </c>
      <c r="B84" s="88">
        <v>38.029998999999997</v>
      </c>
      <c r="C84" s="88">
        <v>38.68</v>
      </c>
      <c r="D84" s="88">
        <v>36.700001</v>
      </c>
      <c r="E84" s="88">
        <v>36.779998999999997</v>
      </c>
      <c r="F84" s="89">
        <f t="shared" si="31"/>
        <v>26</v>
      </c>
      <c r="G84" s="89">
        <f t="shared" si="28"/>
        <v>-988.77997399999992</v>
      </c>
      <c r="H84" s="89">
        <f t="shared" si="32"/>
        <v>27</v>
      </c>
      <c r="I84" s="89">
        <f t="shared" si="33"/>
        <v>-993.0599729999999</v>
      </c>
      <c r="J84" s="89">
        <f t="shared" si="29"/>
        <v>25</v>
      </c>
      <c r="K84" s="89">
        <f t="shared" si="30"/>
        <v>-967</v>
      </c>
      <c r="L84" s="89">
        <f t="shared" si="34"/>
        <v>27</v>
      </c>
      <c r="M84" s="89">
        <f t="shared" si="35"/>
        <v>-990.90002700000002</v>
      </c>
      <c r="N84" s="89"/>
      <c r="O84" s="89"/>
      <c r="P84" s="89"/>
      <c r="Q84" s="89"/>
      <c r="R84" s="89"/>
      <c r="S84" s="89"/>
    </row>
    <row r="85" spans="1:19" hidden="1" x14ac:dyDescent="0.4">
      <c r="A85" s="87" t="s">
        <v>73</v>
      </c>
      <c r="B85" s="88">
        <v>36.860000999999997</v>
      </c>
      <c r="C85" s="88">
        <v>39.919998</v>
      </c>
      <c r="D85" s="88">
        <v>36.549999</v>
      </c>
      <c r="E85" s="88">
        <v>39.580002</v>
      </c>
      <c r="F85" s="89">
        <f t="shared" si="31"/>
        <v>27</v>
      </c>
      <c r="G85" s="89">
        <f t="shared" si="28"/>
        <v>-995.22002699999996</v>
      </c>
      <c r="H85" s="89">
        <f t="shared" si="32"/>
        <v>25</v>
      </c>
      <c r="I85" s="89">
        <f t="shared" si="33"/>
        <v>-989.50004999999999</v>
      </c>
      <c r="J85" s="89">
        <f t="shared" si="29"/>
        <v>25</v>
      </c>
      <c r="K85" s="89">
        <f t="shared" si="30"/>
        <v>-997.99995000000001</v>
      </c>
      <c r="L85" s="89">
        <f t="shared" si="34"/>
        <v>27</v>
      </c>
      <c r="M85" s="89">
        <f t="shared" si="35"/>
        <v>-986.84997299999998</v>
      </c>
      <c r="N85" s="89"/>
      <c r="O85" s="89"/>
      <c r="P85" s="89"/>
      <c r="Q85" s="89"/>
      <c r="R85" s="89"/>
      <c r="S85" s="89"/>
    </row>
    <row r="86" spans="1:19" hidden="1" x14ac:dyDescent="0.4">
      <c r="A86" s="87" t="s">
        <v>74</v>
      </c>
      <c r="B86" s="88">
        <v>39.639999000000003</v>
      </c>
      <c r="C86" s="88">
        <v>40.139999000000003</v>
      </c>
      <c r="D86" s="88">
        <v>38.259998000000003</v>
      </c>
      <c r="E86" s="88">
        <v>38.979999999999997</v>
      </c>
      <c r="F86" s="89">
        <f t="shared" si="31"/>
        <v>25</v>
      </c>
      <c r="G86" s="89">
        <f t="shared" si="28"/>
        <v>-990.99997500000006</v>
      </c>
      <c r="H86" s="89">
        <f t="shared" si="32"/>
        <v>25</v>
      </c>
      <c r="I86" s="89">
        <f t="shared" si="33"/>
        <v>-974.49999999999989</v>
      </c>
      <c r="J86" s="89">
        <f t="shared" si="29"/>
        <v>24</v>
      </c>
      <c r="K86" s="89">
        <f t="shared" si="30"/>
        <v>-963.35997600000007</v>
      </c>
      <c r="L86" s="89">
        <f t="shared" si="34"/>
        <v>26</v>
      </c>
      <c r="M86" s="89">
        <f t="shared" si="35"/>
        <v>-994.75994800000012</v>
      </c>
      <c r="N86" s="89"/>
      <c r="O86" s="89"/>
      <c r="P86" s="89"/>
      <c r="Q86" s="89"/>
      <c r="R86" s="89"/>
      <c r="S86" s="89"/>
    </row>
    <row r="87" spans="1:19" hidden="1" x14ac:dyDescent="0.4">
      <c r="A87" s="87" t="s">
        <v>75</v>
      </c>
      <c r="B87" s="88">
        <v>39</v>
      </c>
      <c r="C87" s="88">
        <v>39.909999999999997</v>
      </c>
      <c r="D87" s="88">
        <v>38.240001999999997</v>
      </c>
      <c r="E87" s="88">
        <v>39.459999000000003</v>
      </c>
      <c r="F87" s="89">
        <f t="shared" si="31"/>
        <v>25</v>
      </c>
      <c r="G87" s="89">
        <f t="shared" si="28"/>
        <v>-975</v>
      </c>
      <c r="H87" s="89">
        <f t="shared" si="32"/>
        <v>25</v>
      </c>
      <c r="I87" s="89">
        <f t="shared" si="33"/>
        <v>-986.49997500000006</v>
      </c>
      <c r="J87" s="89">
        <f t="shared" si="29"/>
        <v>25</v>
      </c>
      <c r="K87" s="89">
        <f t="shared" si="30"/>
        <v>-997.74999999999989</v>
      </c>
      <c r="L87" s="89">
        <f t="shared" si="34"/>
        <v>26</v>
      </c>
      <c r="M87" s="89">
        <f t="shared" si="35"/>
        <v>-994.24005199999988</v>
      </c>
      <c r="N87" s="89"/>
      <c r="O87" s="89"/>
      <c r="P87" s="89"/>
      <c r="Q87" s="89"/>
      <c r="R87" s="89"/>
      <c r="S87" s="89"/>
    </row>
    <row r="88" spans="1:19" hidden="1" x14ac:dyDescent="0.4">
      <c r="A88" s="87" t="s">
        <v>76</v>
      </c>
      <c r="B88" s="88">
        <v>39.540000999999997</v>
      </c>
      <c r="C88" s="88">
        <v>39.880001</v>
      </c>
      <c r="D88" s="88">
        <v>37.330002</v>
      </c>
      <c r="E88" s="88">
        <v>38.869999</v>
      </c>
      <c r="F88" s="89">
        <f t="shared" si="31"/>
        <v>25</v>
      </c>
      <c r="G88" s="89">
        <f t="shared" si="28"/>
        <v>-988.50002499999994</v>
      </c>
      <c r="H88" s="89">
        <f t="shared" si="32"/>
        <v>25</v>
      </c>
      <c r="I88" s="89">
        <f t="shared" si="33"/>
        <v>-971.74997499999995</v>
      </c>
      <c r="J88" s="89">
        <f t="shared" si="29"/>
        <v>25</v>
      </c>
      <c r="K88" s="89">
        <f t="shared" si="30"/>
        <v>-997.00002500000005</v>
      </c>
      <c r="L88" s="89">
        <f t="shared" si="34"/>
        <v>26</v>
      </c>
      <c r="M88" s="89">
        <f t="shared" si="35"/>
        <v>-970.58005200000002</v>
      </c>
      <c r="N88" s="89"/>
      <c r="O88" s="89"/>
      <c r="P88" s="89"/>
      <c r="Q88" s="89"/>
      <c r="R88" s="89"/>
      <c r="S88" s="89"/>
    </row>
    <row r="89" spans="1:19" hidden="1" x14ac:dyDescent="0.4">
      <c r="A89" s="87" t="s">
        <v>77</v>
      </c>
      <c r="B89" s="88">
        <v>38.779998999999997</v>
      </c>
      <c r="C89" s="88">
        <v>42.02</v>
      </c>
      <c r="D89" s="88">
        <v>38.709999000000003</v>
      </c>
      <c r="E89" s="88">
        <v>41.240001999999997</v>
      </c>
      <c r="F89" s="89">
        <f t="shared" si="31"/>
        <v>25</v>
      </c>
      <c r="G89" s="89">
        <f t="shared" si="28"/>
        <v>-969.49997499999995</v>
      </c>
      <c r="H89" s="89">
        <f t="shared" si="32"/>
        <v>24</v>
      </c>
      <c r="I89" s="89">
        <f t="shared" si="33"/>
        <v>-989.76004799999987</v>
      </c>
      <c r="J89" s="89">
        <f t="shared" si="29"/>
        <v>23</v>
      </c>
      <c r="K89" s="89">
        <f t="shared" si="30"/>
        <v>-966.46</v>
      </c>
      <c r="L89" s="89">
        <f t="shared" si="34"/>
        <v>25</v>
      </c>
      <c r="M89" s="89">
        <f t="shared" si="35"/>
        <v>-967.74997500000006</v>
      </c>
      <c r="N89" s="89"/>
      <c r="O89" s="89"/>
      <c r="P89" s="89"/>
      <c r="Q89" s="89"/>
      <c r="R89" s="89"/>
      <c r="S89" s="89"/>
    </row>
    <row r="90" spans="1:19" hidden="1" x14ac:dyDescent="0.4">
      <c r="A90" s="87" t="s">
        <v>78</v>
      </c>
      <c r="B90" s="88">
        <v>41.509998000000003</v>
      </c>
      <c r="C90" s="88">
        <v>42.310001</v>
      </c>
      <c r="D90" s="88">
        <v>40.360000999999997</v>
      </c>
      <c r="E90" s="88">
        <v>40.409999999999997</v>
      </c>
      <c r="F90" s="89">
        <f t="shared" si="31"/>
        <v>24</v>
      </c>
      <c r="G90" s="89">
        <f t="shared" si="28"/>
        <v>-996.23995200000013</v>
      </c>
      <c r="H90" s="89">
        <f t="shared" si="32"/>
        <v>24</v>
      </c>
      <c r="I90" s="89">
        <f t="shared" si="33"/>
        <v>-969.83999999999992</v>
      </c>
      <c r="J90" s="89">
        <f t="shared" si="29"/>
        <v>23</v>
      </c>
      <c r="K90" s="89">
        <f t="shared" si="30"/>
        <v>-973.13002299999994</v>
      </c>
      <c r="L90" s="89">
        <f t="shared" si="34"/>
        <v>24</v>
      </c>
      <c r="M90" s="89">
        <f t="shared" si="35"/>
        <v>-968.64002399999993</v>
      </c>
      <c r="N90" s="89"/>
      <c r="O90" s="89"/>
      <c r="P90" s="89"/>
      <c r="Q90" s="89"/>
      <c r="R90" s="89"/>
      <c r="S90" s="89"/>
    </row>
    <row r="91" spans="1:19" hidden="1" x14ac:dyDescent="0.4">
      <c r="A91" s="87" t="s">
        <v>79</v>
      </c>
      <c r="B91" s="88">
        <v>40.650002000000001</v>
      </c>
      <c r="C91" s="88">
        <v>43.310001</v>
      </c>
      <c r="D91" s="88">
        <v>40.159999999999997</v>
      </c>
      <c r="E91" s="88">
        <v>42</v>
      </c>
      <c r="F91" s="89">
        <f t="shared" si="31"/>
        <v>24</v>
      </c>
      <c r="G91" s="89">
        <f t="shared" si="28"/>
        <v>-975.60004800000002</v>
      </c>
      <c r="H91" s="89">
        <f t="shared" si="32"/>
        <v>23</v>
      </c>
      <c r="I91" s="89">
        <f t="shared" si="33"/>
        <v>-966</v>
      </c>
      <c r="J91" s="89">
        <f t="shared" si="29"/>
        <v>23</v>
      </c>
      <c r="K91" s="89">
        <f t="shared" si="30"/>
        <v>-996.13002299999994</v>
      </c>
      <c r="L91" s="89">
        <f t="shared" si="34"/>
        <v>24</v>
      </c>
      <c r="M91" s="89">
        <f t="shared" si="35"/>
        <v>-963.83999999999992</v>
      </c>
      <c r="N91" s="89"/>
      <c r="O91" s="89"/>
      <c r="P91" s="89"/>
      <c r="Q91" s="89"/>
      <c r="R91" s="89"/>
      <c r="S91" s="89"/>
    </row>
    <row r="92" spans="1:19" hidden="1" x14ac:dyDescent="0.4">
      <c r="A92" s="87" t="s">
        <v>80</v>
      </c>
      <c r="B92" s="88">
        <v>41.740001999999997</v>
      </c>
      <c r="C92" s="88">
        <v>42.169998</v>
      </c>
      <c r="D92" s="88">
        <v>40.259998000000003</v>
      </c>
      <c r="E92" s="88">
        <v>41.099997999999999</v>
      </c>
      <c r="F92" s="89">
        <f t="shared" si="31"/>
        <v>23</v>
      </c>
      <c r="G92" s="89">
        <f t="shared" si="28"/>
        <v>-960.02004599999998</v>
      </c>
      <c r="H92" s="89">
        <f t="shared" si="32"/>
        <v>24</v>
      </c>
      <c r="I92" s="89">
        <f t="shared" si="33"/>
        <v>-986.39995199999998</v>
      </c>
      <c r="J92" s="89">
        <f t="shared" si="29"/>
        <v>23</v>
      </c>
      <c r="K92" s="89">
        <f t="shared" si="30"/>
        <v>-969.90995399999997</v>
      </c>
      <c r="L92" s="89">
        <f t="shared" si="34"/>
        <v>24</v>
      </c>
      <c r="M92" s="89">
        <f t="shared" si="35"/>
        <v>-966.23995200000013</v>
      </c>
      <c r="N92" s="89"/>
      <c r="O92" s="89"/>
      <c r="P92" s="89"/>
      <c r="Q92" s="89"/>
      <c r="R92" s="89"/>
      <c r="S92" s="89"/>
    </row>
    <row r="93" spans="1:19" hidden="1" x14ac:dyDescent="0.4">
      <c r="A93" s="87" t="s">
        <v>81</v>
      </c>
      <c r="B93" s="88">
        <v>41.23</v>
      </c>
      <c r="C93" s="88">
        <v>42.299999</v>
      </c>
      <c r="D93" s="88">
        <v>40.189999</v>
      </c>
      <c r="E93" s="88">
        <v>41.93</v>
      </c>
      <c r="F93" s="89">
        <f t="shared" si="31"/>
        <v>24</v>
      </c>
      <c r="G93" s="89">
        <f t="shared" si="28"/>
        <v>-989.52</v>
      </c>
      <c r="H93" s="89">
        <f t="shared" si="32"/>
        <v>23</v>
      </c>
      <c r="I93" s="89">
        <f t="shared" si="33"/>
        <v>-964.39</v>
      </c>
      <c r="J93" s="89">
        <f t="shared" si="29"/>
        <v>23</v>
      </c>
      <c r="K93" s="89">
        <f t="shared" si="30"/>
        <v>-972.89997700000004</v>
      </c>
      <c r="L93" s="89">
        <f t="shared" si="34"/>
        <v>24</v>
      </c>
      <c r="M93" s="89">
        <f t="shared" si="35"/>
        <v>-964.55997600000001</v>
      </c>
      <c r="N93" s="89"/>
      <c r="O93" s="89"/>
      <c r="P93" s="89"/>
      <c r="Q93" s="89"/>
      <c r="R93" s="89"/>
      <c r="S93" s="89"/>
    </row>
    <row r="94" spans="1:19" hidden="1" x14ac:dyDescent="0.4">
      <c r="A94" s="87" t="s">
        <v>82</v>
      </c>
      <c r="B94" s="88">
        <v>42.150002000000001</v>
      </c>
      <c r="C94" s="88">
        <v>43.049999</v>
      </c>
      <c r="D94" s="88">
        <v>41.389999000000003</v>
      </c>
      <c r="E94" s="88">
        <v>41.849997999999999</v>
      </c>
      <c r="F94" s="89">
        <f t="shared" si="31"/>
        <v>23</v>
      </c>
      <c r="G94" s="89">
        <f t="shared" si="28"/>
        <v>-969.45004600000004</v>
      </c>
      <c r="H94" s="89">
        <f t="shared" si="32"/>
        <v>23</v>
      </c>
      <c r="I94" s="89">
        <f t="shared" si="33"/>
        <v>-962.54995399999996</v>
      </c>
      <c r="J94" s="89">
        <f t="shared" si="29"/>
        <v>23</v>
      </c>
      <c r="K94" s="89">
        <f t="shared" si="30"/>
        <v>-990.14997700000004</v>
      </c>
      <c r="L94" s="89">
        <f t="shared" si="34"/>
        <v>24</v>
      </c>
      <c r="M94" s="89">
        <f t="shared" si="35"/>
        <v>-993.35997600000007</v>
      </c>
      <c r="N94" s="89"/>
      <c r="O94" s="89"/>
      <c r="P94" s="89"/>
      <c r="Q94" s="89"/>
      <c r="R94" s="89"/>
      <c r="S94" s="89"/>
    </row>
    <row r="95" spans="1:19" hidden="1" x14ac:dyDescent="0.4">
      <c r="A95" s="87" t="s">
        <v>83</v>
      </c>
      <c r="B95" s="88">
        <v>41.919998</v>
      </c>
      <c r="C95" s="88">
        <v>42.279998999999997</v>
      </c>
      <c r="D95" s="88">
        <v>38.229999999999997</v>
      </c>
      <c r="E95" s="88">
        <v>38.82</v>
      </c>
      <c r="F95" s="89">
        <f t="shared" si="31"/>
        <v>23</v>
      </c>
      <c r="G95" s="89">
        <f t="shared" si="28"/>
        <v>-964.15995399999997</v>
      </c>
      <c r="H95" s="89">
        <f t="shared" si="32"/>
        <v>25</v>
      </c>
      <c r="I95" s="89">
        <f t="shared" si="33"/>
        <v>-970.5</v>
      </c>
      <c r="J95" s="89">
        <f t="shared" si="29"/>
        <v>23</v>
      </c>
      <c r="K95" s="89">
        <f t="shared" si="30"/>
        <v>-972.43997699999989</v>
      </c>
      <c r="L95" s="89">
        <f t="shared" si="34"/>
        <v>26</v>
      </c>
      <c r="M95" s="89">
        <f t="shared" si="35"/>
        <v>-993.9799999999999</v>
      </c>
      <c r="N95" s="89"/>
      <c r="O95" s="89"/>
      <c r="P95" s="89">
        <f t="shared" ref="P95" si="40">INT(P$1/MAX(C84:C95))</f>
        <v>277</v>
      </c>
      <c r="Q95" s="89">
        <f t="shared" ref="Q95" si="41">P95*-MAX(C84:C95)</f>
        <v>-11996.870277</v>
      </c>
      <c r="R95" s="89">
        <f t="shared" ref="R95" si="42">INT(R$1/MIN(D84:D95))</f>
        <v>328</v>
      </c>
      <c r="S95" s="89">
        <f t="shared" ref="S95" si="43">R95*-MIN(D84:D95)</f>
        <v>-11988.399672</v>
      </c>
    </row>
    <row r="96" spans="1:19" hidden="1" x14ac:dyDescent="0.4">
      <c r="A96" s="87" t="s">
        <v>84</v>
      </c>
      <c r="B96" s="88">
        <v>38.93</v>
      </c>
      <c r="C96" s="88">
        <v>40</v>
      </c>
      <c r="D96" s="88">
        <v>37.159999999999997</v>
      </c>
      <c r="E96" s="88">
        <v>38.770000000000003</v>
      </c>
      <c r="F96" s="89">
        <f t="shared" si="31"/>
        <v>25</v>
      </c>
      <c r="G96" s="89">
        <f t="shared" si="28"/>
        <v>-973.25</v>
      </c>
      <c r="H96" s="89">
        <f t="shared" si="32"/>
        <v>25</v>
      </c>
      <c r="I96" s="89">
        <f t="shared" si="33"/>
        <v>-969.25000000000011</v>
      </c>
      <c r="J96" s="89">
        <f t="shared" si="29"/>
        <v>25</v>
      </c>
      <c r="K96" s="89">
        <f t="shared" si="30"/>
        <v>-1000</v>
      </c>
      <c r="L96" s="89">
        <f t="shared" si="34"/>
        <v>26</v>
      </c>
      <c r="M96" s="89">
        <f t="shared" si="35"/>
        <v>-966.15999999999985</v>
      </c>
      <c r="N96" s="89"/>
      <c r="O96" s="89"/>
      <c r="P96" s="89"/>
      <c r="Q96" s="89"/>
      <c r="R96" s="89"/>
      <c r="S96" s="89"/>
    </row>
    <row r="97" spans="1:19" hidden="1" x14ac:dyDescent="0.4">
      <c r="A97" s="87" t="s">
        <v>85</v>
      </c>
      <c r="B97" s="88">
        <v>38.889999000000003</v>
      </c>
      <c r="C97" s="88">
        <v>39</v>
      </c>
      <c r="D97" s="88">
        <v>35.540000999999997</v>
      </c>
      <c r="E97" s="88">
        <v>37.099997999999999</v>
      </c>
      <c r="F97" s="89">
        <f t="shared" si="31"/>
        <v>25</v>
      </c>
      <c r="G97" s="89">
        <f t="shared" si="28"/>
        <v>-972.24997500000006</v>
      </c>
      <c r="H97" s="89">
        <f t="shared" si="32"/>
        <v>26</v>
      </c>
      <c r="I97" s="89">
        <f t="shared" si="33"/>
        <v>-964.59994800000004</v>
      </c>
      <c r="J97" s="89">
        <f t="shared" si="29"/>
        <v>25</v>
      </c>
      <c r="K97" s="89">
        <f t="shared" si="30"/>
        <v>-975</v>
      </c>
      <c r="L97" s="89">
        <f t="shared" si="34"/>
        <v>28</v>
      </c>
      <c r="M97" s="89">
        <f t="shared" si="35"/>
        <v>-995.12002799999993</v>
      </c>
      <c r="N97" s="89"/>
      <c r="O97" s="89"/>
      <c r="P97" s="89"/>
      <c r="Q97" s="89"/>
      <c r="R97" s="89"/>
      <c r="S97" s="89"/>
    </row>
    <row r="98" spans="1:19" hidden="1" x14ac:dyDescent="0.4">
      <c r="A98" s="87" t="s">
        <v>86</v>
      </c>
      <c r="B98" s="88">
        <v>36.770000000000003</v>
      </c>
      <c r="C98" s="88">
        <v>39.029998999999997</v>
      </c>
      <c r="D98" s="88">
        <v>36.259998000000003</v>
      </c>
      <c r="E98" s="88">
        <v>38.869999</v>
      </c>
      <c r="F98" s="89">
        <f t="shared" si="31"/>
        <v>27</v>
      </c>
      <c r="G98" s="89">
        <f t="shared" si="28"/>
        <v>-992.79000000000008</v>
      </c>
      <c r="H98" s="89">
        <f t="shared" si="32"/>
        <v>25</v>
      </c>
      <c r="I98" s="89">
        <f t="shared" si="33"/>
        <v>-971.74997499999995</v>
      </c>
      <c r="J98" s="89">
        <f t="shared" si="29"/>
        <v>25</v>
      </c>
      <c r="K98" s="89">
        <f t="shared" si="30"/>
        <v>-975.74997499999995</v>
      </c>
      <c r="L98" s="89">
        <f t="shared" si="34"/>
        <v>27</v>
      </c>
      <c r="M98" s="89">
        <f t="shared" si="35"/>
        <v>-979.01994600000012</v>
      </c>
      <c r="N98" s="89"/>
      <c r="O98" s="89"/>
      <c r="P98" s="89"/>
      <c r="Q98" s="89"/>
      <c r="R98" s="89"/>
      <c r="S98" s="89"/>
    </row>
    <row r="99" spans="1:19" hidden="1" x14ac:dyDescent="0.4">
      <c r="A99" s="87" t="s">
        <v>87</v>
      </c>
      <c r="B99" s="88">
        <v>39.080002</v>
      </c>
      <c r="C99" s="88">
        <v>40.950001</v>
      </c>
      <c r="D99" s="88">
        <v>38.32</v>
      </c>
      <c r="E99" s="88">
        <v>40.650002000000001</v>
      </c>
      <c r="F99" s="89">
        <f t="shared" si="31"/>
        <v>25</v>
      </c>
      <c r="G99" s="89">
        <f t="shared" si="28"/>
        <v>-977.00004999999999</v>
      </c>
      <c r="H99" s="89">
        <f t="shared" si="32"/>
        <v>24</v>
      </c>
      <c r="I99" s="89">
        <f t="shared" si="33"/>
        <v>-975.60004800000002</v>
      </c>
      <c r="J99" s="89">
        <f t="shared" si="29"/>
        <v>24</v>
      </c>
      <c r="K99" s="89">
        <f t="shared" si="30"/>
        <v>-982.80002400000001</v>
      </c>
      <c r="L99" s="89">
        <f t="shared" si="34"/>
        <v>26</v>
      </c>
      <c r="M99" s="89">
        <f t="shared" si="35"/>
        <v>-996.32</v>
      </c>
      <c r="N99" s="89"/>
      <c r="O99" s="89"/>
      <c r="P99" s="89"/>
      <c r="Q99" s="89"/>
      <c r="R99" s="89"/>
      <c r="S99" s="89"/>
    </row>
    <row r="100" spans="1:19" hidden="1" x14ac:dyDescent="0.4">
      <c r="A100" s="87" t="s">
        <v>88</v>
      </c>
      <c r="B100" s="88">
        <v>40.599997999999999</v>
      </c>
      <c r="C100" s="88">
        <v>42.919998</v>
      </c>
      <c r="D100" s="88">
        <v>39.880001</v>
      </c>
      <c r="E100" s="88">
        <v>42.580002</v>
      </c>
      <c r="F100" s="89">
        <f t="shared" si="31"/>
        <v>24</v>
      </c>
      <c r="G100" s="89">
        <f t="shared" si="28"/>
        <v>-974.39995199999998</v>
      </c>
      <c r="H100" s="89">
        <f t="shared" si="32"/>
        <v>23</v>
      </c>
      <c r="I100" s="89">
        <f t="shared" si="33"/>
        <v>-979.34004600000003</v>
      </c>
      <c r="J100" s="89">
        <f t="shared" si="29"/>
        <v>23</v>
      </c>
      <c r="K100" s="89">
        <f t="shared" si="30"/>
        <v>-987.15995399999997</v>
      </c>
      <c r="L100" s="89">
        <f t="shared" si="34"/>
        <v>25</v>
      </c>
      <c r="M100" s="89">
        <f t="shared" si="35"/>
        <v>-997.00002500000005</v>
      </c>
      <c r="N100" s="89"/>
      <c r="O100" s="89"/>
      <c r="P100" s="89"/>
      <c r="Q100" s="89"/>
      <c r="R100" s="89"/>
      <c r="S100" s="89"/>
    </row>
    <row r="101" spans="1:19" hidden="1" x14ac:dyDescent="0.4">
      <c r="A101" s="87" t="s">
        <v>89</v>
      </c>
      <c r="B101" s="88">
        <v>42.73</v>
      </c>
      <c r="C101" s="88">
        <v>44.860000999999997</v>
      </c>
      <c r="D101" s="88">
        <v>41.610000999999997</v>
      </c>
      <c r="E101" s="88">
        <v>44.040000999999997</v>
      </c>
      <c r="F101" s="89">
        <f t="shared" si="31"/>
        <v>23</v>
      </c>
      <c r="G101" s="89">
        <f t="shared" si="28"/>
        <v>-982.79</v>
      </c>
      <c r="H101" s="89">
        <f t="shared" si="32"/>
        <v>22</v>
      </c>
      <c r="I101" s="89">
        <f t="shared" si="33"/>
        <v>-968.88002199999994</v>
      </c>
      <c r="J101" s="89">
        <f t="shared" si="29"/>
        <v>22</v>
      </c>
      <c r="K101" s="89">
        <f t="shared" si="30"/>
        <v>-986.9200219999999</v>
      </c>
      <c r="L101" s="89">
        <f t="shared" si="34"/>
        <v>24</v>
      </c>
      <c r="M101" s="89">
        <f t="shared" si="35"/>
        <v>-998.64002399999993</v>
      </c>
      <c r="N101" s="89"/>
      <c r="O101" s="89"/>
      <c r="P101" s="89"/>
      <c r="Q101" s="89"/>
      <c r="R101" s="89"/>
      <c r="S101" s="89"/>
    </row>
    <row r="102" spans="1:19" hidden="1" x14ac:dyDescent="0.4">
      <c r="A102" s="87" t="s">
        <v>90</v>
      </c>
      <c r="B102" s="88">
        <v>44</v>
      </c>
      <c r="C102" s="88">
        <v>44.759998000000003</v>
      </c>
      <c r="D102" s="88">
        <v>42.880001</v>
      </c>
      <c r="E102" s="88">
        <v>43.16</v>
      </c>
      <c r="F102" s="89">
        <f t="shared" si="31"/>
        <v>22</v>
      </c>
      <c r="G102" s="89">
        <f t="shared" si="28"/>
        <v>-968</v>
      </c>
      <c r="H102" s="89">
        <f t="shared" si="32"/>
        <v>23</v>
      </c>
      <c r="I102" s="89">
        <f t="shared" si="33"/>
        <v>-992.68</v>
      </c>
      <c r="J102" s="89">
        <f t="shared" si="29"/>
        <v>22</v>
      </c>
      <c r="K102" s="89">
        <f t="shared" si="30"/>
        <v>-984.71995600000002</v>
      </c>
      <c r="L102" s="89">
        <f t="shared" si="34"/>
        <v>23</v>
      </c>
      <c r="M102" s="89">
        <f t="shared" si="35"/>
        <v>-986.24002299999995</v>
      </c>
      <c r="N102" s="89"/>
      <c r="O102" s="89"/>
      <c r="P102" s="89"/>
      <c r="Q102" s="89"/>
      <c r="R102" s="89"/>
      <c r="S102" s="89"/>
    </row>
    <row r="103" spans="1:19" hidden="1" x14ac:dyDescent="0.4">
      <c r="A103" s="87" t="s">
        <v>91</v>
      </c>
      <c r="B103" s="88">
        <v>43.459999000000003</v>
      </c>
      <c r="C103" s="88">
        <v>45.400002000000001</v>
      </c>
      <c r="D103" s="88">
        <v>42.52</v>
      </c>
      <c r="E103" s="88">
        <v>44.07</v>
      </c>
      <c r="F103" s="89">
        <f t="shared" si="31"/>
        <v>23</v>
      </c>
      <c r="G103" s="89">
        <f t="shared" si="28"/>
        <v>-999.5799770000001</v>
      </c>
      <c r="H103" s="89">
        <f t="shared" si="32"/>
        <v>22</v>
      </c>
      <c r="I103" s="89">
        <f t="shared" si="33"/>
        <v>-969.54</v>
      </c>
      <c r="J103" s="89">
        <f t="shared" si="29"/>
        <v>22</v>
      </c>
      <c r="K103" s="89">
        <f t="shared" si="30"/>
        <v>-998.80004400000007</v>
      </c>
      <c r="L103" s="89">
        <f t="shared" si="34"/>
        <v>23</v>
      </c>
      <c r="M103" s="89">
        <f t="shared" si="35"/>
        <v>-977.96</v>
      </c>
      <c r="N103" s="89"/>
      <c r="O103" s="89"/>
      <c r="P103" s="89"/>
      <c r="Q103" s="89"/>
      <c r="R103" s="89"/>
      <c r="S103" s="89"/>
    </row>
    <row r="104" spans="1:19" hidden="1" x14ac:dyDescent="0.4">
      <c r="A104" s="87" t="s">
        <v>92</v>
      </c>
      <c r="B104" s="88">
        <v>44.27</v>
      </c>
      <c r="C104" s="88">
        <v>45.549999</v>
      </c>
      <c r="D104" s="88">
        <v>42.93</v>
      </c>
      <c r="E104" s="88">
        <v>43.330002</v>
      </c>
      <c r="F104" s="89">
        <f t="shared" si="31"/>
        <v>22</v>
      </c>
      <c r="G104" s="89">
        <f t="shared" si="28"/>
        <v>-973.94</v>
      </c>
      <c r="H104" s="89">
        <f t="shared" si="32"/>
        <v>23</v>
      </c>
      <c r="I104" s="89">
        <f t="shared" si="33"/>
        <v>-996.59004600000003</v>
      </c>
      <c r="J104" s="89">
        <f t="shared" si="29"/>
        <v>21</v>
      </c>
      <c r="K104" s="89">
        <f t="shared" si="30"/>
        <v>-956.54997900000001</v>
      </c>
      <c r="L104" s="89">
        <f t="shared" si="34"/>
        <v>23</v>
      </c>
      <c r="M104" s="89">
        <f t="shared" si="35"/>
        <v>-987.39</v>
      </c>
      <c r="N104" s="89"/>
      <c r="O104" s="89"/>
      <c r="P104" s="89"/>
      <c r="Q104" s="89"/>
      <c r="R104" s="89"/>
      <c r="S104" s="89"/>
    </row>
    <row r="105" spans="1:19" hidden="1" x14ac:dyDescent="0.4">
      <c r="A105" s="87" t="s">
        <v>93</v>
      </c>
      <c r="B105" s="88">
        <v>42.549999</v>
      </c>
      <c r="C105" s="88">
        <v>44.450001</v>
      </c>
      <c r="D105" s="88">
        <v>42.060001</v>
      </c>
      <c r="E105" s="88">
        <v>43.529998999999997</v>
      </c>
      <c r="F105" s="89">
        <f t="shared" si="31"/>
        <v>23</v>
      </c>
      <c r="G105" s="89">
        <f t="shared" si="28"/>
        <v>-978.64997700000004</v>
      </c>
      <c r="H105" s="89">
        <f t="shared" si="32"/>
        <v>22</v>
      </c>
      <c r="I105" s="89">
        <f t="shared" si="33"/>
        <v>-957.65997799999991</v>
      </c>
      <c r="J105" s="89">
        <f t="shared" si="29"/>
        <v>22</v>
      </c>
      <c r="K105" s="89">
        <f t="shared" si="30"/>
        <v>-977.90002200000004</v>
      </c>
      <c r="L105" s="89">
        <f t="shared" si="34"/>
        <v>23</v>
      </c>
      <c r="M105" s="89">
        <f t="shared" si="35"/>
        <v>-967.38002299999994</v>
      </c>
      <c r="N105" s="89"/>
      <c r="O105" s="89"/>
      <c r="P105" s="89"/>
      <c r="Q105" s="89"/>
      <c r="R105" s="89"/>
      <c r="S105" s="89"/>
    </row>
    <row r="106" spans="1:19" hidden="1" x14ac:dyDescent="0.4">
      <c r="A106" s="87" t="s">
        <v>94</v>
      </c>
      <c r="B106" s="88">
        <v>43.669998</v>
      </c>
      <c r="C106" s="88">
        <v>46.700001</v>
      </c>
      <c r="D106" s="88">
        <v>43.299999</v>
      </c>
      <c r="E106" s="88">
        <v>45.959999000000003</v>
      </c>
      <c r="F106" s="89">
        <f t="shared" si="31"/>
        <v>22</v>
      </c>
      <c r="G106" s="89">
        <f t="shared" si="28"/>
        <v>-960.73995600000001</v>
      </c>
      <c r="H106" s="89">
        <f t="shared" si="32"/>
        <v>21</v>
      </c>
      <c r="I106" s="89">
        <f t="shared" si="33"/>
        <v>-965.15997900000002</v>
      </c>
      <c r="J106" s="89">
        <f t="shared" si="29"/>
        <v>21</v>
      </c>
      <c r="K106" s="89">
        <f t="shared" si="30"/>
        <v>-980.70002099999999</v>
      </c>
      <c r="L106" s="89">
        <f t="shared" si="34"/>
        <v>23</v>
      </c>
      <c r="M106" s="89">
        <f t="shared" si="35"/>
        <v>-995.89997700000004</v>
      </c>
      <c r="N106" s="89"/>
      <c r="O106" s="89"/>
      <c r="P106" s="89"/>
      <c r="Q106" s="89"/>
      <c r="R106" s="89"/>
      <c r="S106" s="89"/>
    </row>
    <row r="107" spans="1:19" hidden="1" x14ac:dyDescent="0.4">
      <c r="A107" s="87" t="s">
        <v>95</v>
      </c>
      <c r="B107" s="88">
        <v>45.970001000000003</v>
      </c>
      <c r="C107" s="88">
        <v>47.52</v>
      </c>
      <c r="D107" s="88">
        <v>45.66</v>
      </c>
      <c r="E107" s="88">
        <v>47.41</v>
      </c>
      <c r="F107" s="89">
        <f t="shared" si="31"/>
        <v>21</v>
      </c>
      <c r="G107" s="89">
        <f t="shared" si="28"/>
        <v>-965.37002100000007</v>
      </c>
      <c r="H107" s="89">
        <f t="shared" si="32"/>
        <v>21</v>
      </c>
      <c r="I107" s="89">
        <f t="shared" si="33"/>
        <v>-995.6099999999999</v>
      </c>
      <c r="J107" s="89">
        <f t="shared" si="29"/>
        <v>21</v>
      </c>
      <c r="K107" s="89">
        <f t="shared" si="30"/>
        <v>-997.92000000000007</v>
      </c>
      <c r="L107" s="89">
        <f t="shared" si="34"/>
        <v>21</v>
      </c>
      <c r="M107" s="89">
        <f t="shared" si="35"/>
        <v>-958.8599999999999</v>
      </c>
      <c r="N107" s="89"/>
      <c r="O107" s="89"/>
      <c r="P107" s="89">
        <f t="shared" ref="P107" si="44">INT(P$1/MAX(C96:C107))</f>
        <v>252</v>
      </c>
      <c r="Q107" s="89">
        <f t="shared" ref="Q107" si="45">P107*-MAX(C96:C107)</f>
        <v>-11975.04</v>
      </c>
      <c r="R107" s="89">
        <f t="shared" ref="R107" si="46">INT(R$1/MIN(D96:D107))</f>
        <v>337</v>
      </c>
      <c r="S107" s="89">
        <f t="shared" ref="S107" si="47">R107*-MIN(D96:D107)</f>
        <v>-11976.980336999999</v>
      </c>
    </row>
    <row r="108" spans="1:19" hidden="1" x14ac:dyDescent="0.4">
      <c r="A108" s="87" t="s">
        <v>96</v>
      </c>
      <c r="B108" s="88">
        <v>47.580002</v>
      </c>
      <c r="C108" s="88">
        <v>47.919998</v>
      </c>
      <c r="D108" s="88">
        <v>46.16</v>
      </c>
      <c r="E108" s="88">
        <v>47.599997999999999</v>
      </c>
      <c r="F108" s="89">
        <f t="shared" si="31"/>
        <v>21</v>
      </c>
      <c r="G108" s="89">
        <f t="shared" si="28"/>
        <v>-999.18004199999996</v>
      </c>
      <c r="H108" s="89">
        <f t="shared" si="32"/>
        <v>21</v>
      </c>
      <c r="I108" s="89">
        <f t="shared" si="33"/>
        <v>-999.59995800000002</v>
      </c>
      <c r="J108" s="89">
        <f t="shared" si="29"/>
        <v>20</v>
      </c>
      <c r="K108" s="89">
        <f t="shared" si="30"/>
        <v>-958.39995999999996</v>
      </c>
      <c r="L108" s="89">
        <f t="shared" si="34"/>
        <v>21</v>
      </c>
      <c r="M108" s="89">
        <f t="shared" si="35"/>
        <v>-969.3599999999999</v>
      </c>
      <c r="N108" s="89"/>
      <c r="O108" s="89"/>
      <c r="P108" s="89"/>
      <c r="Q108" s="89"/>
      <c r="R108" s="89"/>
      <c r="S108" s="89"/>
    </row>
    <row r="109" spans="1:19" hidden="1" x14ac:dyDescent="0.4">
      <c r="A109" s="87" t="s">
        <v>97</v>
      </c>
      <c r="B109" s="88">
        <v>47.709999000000003</v>
      </c>
      <c r="C109" s="88">
        <v>50.66</v>
      </c>
      <c r="D109" s="88">
        <v>47.43</v>
      </c>
      <c r="E109" s="88">
        <v>47.529998999999997</v>
      </c>
      <c r="F109" s="89">
        <f t="shared" si="31"/>
        <v>20</v>
      </c>
      <c r="G109" s="89">
        <f t="shared" si="28"/>
        <v>-954.1999800000001</v>
      </c>
      <c r="H109" s="89">
        <f t="shared" si="32"/>
        <v>21</v>
      </c>
      <c r="I109" s="89">
        <f t="shared" si="33"/>
        <v>-998.12997899999993</v>
      </c>
      <c r="J109" s="89">
        <f t="shared" si="29"/>
        <v>19</v>
      </c>
      <c r="K109" s="89">
        <f t="shared" si="30"/>
        <v>-962.54</v>
      </c>
      <c r="L109" s="89">
        <f t="shared" si="34"/>
        <v>21</v>
      </c>
      <c r="M109" s="89">
        <f t="shared" si="35"/>
        <v>-996.03</v>
      </c>
      <c r="N109" s="89"/>
      <c r="O109" s="89"/>
      <c r="P109" s="89"/>
      <c r="Q109" s="89"/>
      <c r="R109" s="89"/>
      <c r="S109" s="89"/>
    </row>
    <row r="110" spans="1:19" hidden="1" x14ac:dyDescent="0.4">
      <c r="A110" s="87" t="s">
        <v>98</v>
      </c>
      <c r="B110" s="88">
        <v>47.389999000000003</v>
      </c>
      <c r="C110" s="88">
        <v>49.060001</v>
      </c>
      <c r="D110" s="88">
        <v>44.389999000000003</v>
      </c>
      <c r="E110" s="88">
        <v>48.869999</v>
      </c>
      <c r="F110" s="89">
        <f t="shared" si="31"/>
        <v>21</v>
      </c>
      <c r="G110" s="89">
        <f t="shared" si="28"/>
        <v>-995.18997900000011</v>
      </c>
      <c r="H110" s="89">
        <f t="shared" si="32"/>
        <v>20</v>
      </c>
      <c r="I110" s="89">
        <f t="shared" si="33"/>
        <v>-977.39998000000003</v>
      </c>
      <c r="J110" s="89">
        <f t="shared" si="29"/>
        <v>20</v>
      </c>
      <c r="K110" s="89">
        <f t="shared" si="30"/>
        <v>-981.20001999999999</v>
      </c>
      <c r="L110" s="89">
        <f t="shared" si="34"/>
        <v>22</v>
      </c>
      <c r="M110" s="89">
        <f t="shared" si="35"/>
        <v>-976.5799780000001</v>
      </c>
      <c r="N110" s="89"/>
      <c r="O110" s="89"/>
      <c r="P110" s="89"/>
      <c r="Q110" s="89"/>
      <c r="R110" s="89"/>
      <c r="S110" s="89"/>
    </row>
    <row r="111" spans="1:19" hidden="1" x14ac:dyDescent="0.4">
      <c r="A111" s="87" t="s">
        <v>99</v>
      </c>
      <c r="B111" s="88">
        <v>48.93</v>
      </c>
      <c r="C111" s="88">
        <v>51.68</v>
      </c>
      <c r="D111" s="88">
        <v>47.810001</v>
      </c>
      <c r="E111" s="88">
        <v>51.41</v>
      </c>
      <c r="F111" s="89">
        <f t="shared" si="31"/>
        <v>20</v>
      </c>
      <c r="G111" s="89">
        <f t="shared" si="28"/>
        <v>-978.6</v>
      </c>
      <c r="H111" s="89">
        <f t="shared" si="32"/>
        <v>19</v>
      </c>
      <c r="I111" s="89">
        <f t="shared" si="33"/>
        <v>-976.79</v>
      </c>
      <c r="J111" s="89">
        <f t="shared" si="29"/>
        <v>19</v>
      </c>
      <c r="K111" s="89">
        <f t="shared" si="30"/>
        <v>-981.92</v>
      </c>
      <c r="L111" s="89">
        <f t="shared" si="34"/>
        <v>20</v>
      </c>
      <c r="M111" s="89">
        <f t="shared" si="35"/>
        <v>-956.20001999999999</v>
      </c>
      <c r="N111" s="89"/>
      <c r="O111" s="89"/>
      <c r="P111" s="89"/>
      <c r="Q111" s="89"/>
      <c r="R111" s="89"/>
      <c r="S111" s="89"/>
    </row>
    <row r="112" spans="1:19" hidden="1" x14ac:dyDescent="0.4">
      <c r="A112" s="87" t="s">
        <v>100</v>
      </c>
      <c r="B112" s="88">
        <v>51.450001</v>
      </c>
      <c r="C112" s="88">
        <v>55.07</v>
      </c>
      <c r="D112" s="88">
        <v>51.34</v>
      </c>
      <c r="E112" s="88">
        <v>55.029998999999997</v>
      </c>
      <c r="F112" s="89">
        <f t="shared" si="31"/>
        <v>19</v>
      </c>
      <c r="G112" s="89">
        <f t="shared" si="28"/>
        <v>-977.55001900000002</v>
      </c>
      <c r="H112" s="89">
        <f t="shared" si="32"/>
        <v>18</v>
      </c>
      <c r="I112" s="89">
        <f t="shared" si="33"/>
        <v>-990.5399819999999</v>
      </c>
      <c r="J112" s="89">
        <f t="shared" si="29"/>
        <v>18</v>
      </c>
      <c r="K112" s="89">
        <f t="shared" si="30"/>
        <v>-991.26</v>
      </c>
      <c r="L112" s="89">
        <f t="shared" si="34"/>
        <v>19</v>
      </c>
      <c r="M112" s="89">
        <f t="shared" si="35"/>
        <v>-975.46</v>
      </c>
      <c r="N112" s="89"/>
      <c r="O112" s="89"/>
      <c r="P112" s="89"/>
      <c r="Q112" s="89"/>
      <c r="R112" s="89"/>
      <c r="S112" s="89"/>
    </row>
    <row r="113" spans="1:19" hidden="1" x14ac:dyDescent="0.4">
      <c r="A113" s="87" t="s">
        <v>101</v>
      </c>
      <c r="B113" s="88">
        <v>54.68</v>
      </c>
      <c r="C113" s="88">
        <v>54.77</v>
      </c>
      <c r="D113" s="88">
        <v>48.650002000000001</v>
      </c>
      <c r="E113" s="88">
        <v>51.310001</v>
      </c>
      <c r="F113" s="89">
        <f t="shared" si="31"/>
        <v>18</v>
      </c>
      <c r="G113" s="89">
        <f t="shared" si="28"/>
        <v>-984.24</v>
      </c>
      <c r="H113" s="89">
        <f t="shared" si="32"/>
        <v>19</v>
      </c>
      <c r="I113" s="89">
        <f t="shared" si="33"/>
        <v>-974.89001899999994</v>
      </c>
      <c r="J113" s="89">
        <f t="shared" si="29"/>
        <v>18</v>
      </c>
      <c r="K113" s="89">
        <f t="shared" si="30"/>
        <v>-985.86</v>
      </c>
      <c r="L113" s="89">
        <f t="shared" si="34"/>
        <v>20</v>
      </c>
      <c r="M113" s="89">
        <f t="shared" si="35"/>
        <v>-973.00004000000001</v>
      </c>
      <c r="N113" s="89"/>
      <c r="O113" s="89"/>
      <c r="P113" s="89"/>
      <c r="Q113" s="89"/>
      <c r="R113" s="89"/>
      <c r="S113" s="89"/>
    </row>
    <row r="114" spans="1:19" hidden="1" x14ac:dyDescent="0.4">
      <c r="A114" s="87" t="s">
        <v>102</v>
      </c>
      <c r="B114" s="88">
        <v>51.09</v>
      </c>
      <c r="C114" s="88">
        <v>52.84</v>
      </c>
      <c r="D114" s="88">
        <v>49.18</v>
      </c>
      <c r="E114" s="88">
        <v>51.220001000000003</v>
      </c>
      <c r="F114" s="89">
        <f t="shared" si="31"/>
        <v>19</v>
      </c>
      <c r="G114" s="89">
        <f t="shared" si="28"/>
        <v>-970.71</v>
      </c>
      <c r="H114" s="89">
        <f t="shared" si="32"/>
        <v>19</v>
      </c>
      <c r="I114" s="89">
        <f t="shared" si="33"/>
        <v>-973.18001900000002</v>
      </c>
      <c r="J114" s="89">
        <f t="shared" si="29"/>
        <v>18</v>
      </c>
      <c r="K114" s="89">
        <f t="shared" si="30"/>
        <v>-951.12000000000012</v>
      </c>
      <c r="L114" s="89">
        <f t="shared" si="34"/>
        <v>20</v>
      </c>
      <c r="M114" s="89">
        <f t="shared" si="35"/>
        <v>-983.6</v>
      </c>
      <c r="N114" s="89"/>
      <c r="O114" s="89"/>
      <c r="P114" s="89"/>
      <c r="Q114" s="89"/>
      <c r="R114" s="89"/>
      <c r="S114" s="89"/>
    </row>
    <row r="115" spans="1:19" hidden="1" x14ac:dyDescent="0.4">
      <c r="A115" s="87" t="s">
        <v>103</v>
      </c>
      <c r="B115" s="88">
        <v>51.27</v>
      </c>
      <c r="C115" s="88">
        <v>51.470001000000003</v>
      </c>
      <c r="D115" s="88">
        <v>41.610000999999997</v>
      </c>
      <c r="E115" s="88">
        <v>45.130001</v>
      </c>
      <c r="F115" s="89">
        <f t="shared" si="31"/>
        <v>19</v>
      </c>
      <c r="G115" s="89">
        <f t="shared" si="28"/>
        <v>-974.13000000000011</v>
      </c>
      <c r="H115" s="89">
        <f t="shared" si="32"/>
        <v>22</v>
      </c>
      <c r="I115" s="89">
        <f t="shared" si="33"/>
        <v>-992.86002199999996</v>
      </c>
      <c r="J115" s="89">
        <f t="shared" si="29"/>
        <v>19</v>
      </c>
      <c r="K115" s="89">
        <f t="shared" si="30"/>
        <v>-977.93001900000002</v>
      </c>
      <c r="L115" s="89">
        <f t="shared" si="34"/>
        <v>24</v>
      </c>
      <c r="M115" s="89">
        <f t="shared" si="35"/>
        <v>-998.64002399999993</v>
      </c>
      <c r="N115" s="89"/>
      <c r="O115" s="89"/>
      <c r="P115" s="89"/>
      <c r="Q115" s="89"/>
      <c r="R115" s="89"/>
      <c r="S115" s="89"/>
    </row>
    <row r="116" spans="1:19" hidden="1" x14ac:dyDescent="0.4">
      <c r="A116" s="87" t="s">
        <v>104</v>
      </c>
      <c r="B116" s="88">
        <v>45.5</v>
      </c>
      <c r="C116" s="88">
        <v>45.880001</v>
      </c>
      <c r="D116" s="88">
        <v>42.150002000000001</v>
      </c>
      <c r="E116" s="88">
        <v>42.950001</v>
      </c>
      <c r="F116" s="89">
        <f t="shared" si="31"/>
        <v>21</v>
      </c>
      <c r="G116" s="89">
        <f t="shared" si="28"/>
        <v>-955.5</v>
      </c>
      <c r="H116" s="89">
        <f t="shared" si="32"/>
        <v>23</v>
      </c>
      <c r="I116" s="89">
        <f t="shared" si="33"/>
        <v>-987.85002299999996</v>
      </c>
      <c r="J116" s="89">
        <f t="shared" si="29"/>
        <v>21</v>
      </c>
      <c r="K116" s="89">
        <f t="shared" si="30"/>
        <v>-963.48002099999997</v>
      </c>
      <c r="L116" s="89">
        <f t="shared" si="34"/>
        <v>23</v>
      </c>
      <c r="M116" s="89">
        <f t="shared" si="35"/>
        <v>-969.45004600000004</v>
      </c>
      <c r="N116" s="89"/>
      <c r="O116" s="89"/>
      <c r="P116" s="89"/>
      <c r="Q116" s="89"/>
      <c r="R116" s="89"/>
      <c r="S116" s="89"/>
    </row>
    <row r="117" spans="1:19" hidden="1" x14ac:dyDescent="0.4">
      <c r="A117" s="87" t="s">
        <v>105</v>
      </c>
      <c r="B117" s="88">
        <v>42.919998</v>
      </c>
      <c r="C117" s="88">
        <v>45.07</v>
      </c>
      <c r="D117" s="88">
        <v>41.049999</v>
      </c>
      <c r="E117" s="88">
        <v>43.720001000000003</v>
      </c>
      <c r="F117" s="89">
        <f t="shared" si="31"/>
        <v>23</v>
      </c>
      <c r="G117" s="89">
        <f t="shared" si="28"/>
        <v>-987.15995399999997</v>
      </c>
      <c r="H117" s="89">
        <f t="shared" si="32"/>
        <v>22</v>
      </c>
      <c r="I117" s="89">
        <f t="shared" si="33"/>
        <v>-961.84002200000009</v>
      </c>
      <c r="J117" s="89">
        <f t="shared" si="29"/>
        <v>22</v>
      </c>
      <c r="K117" s="89">
        <f t="shared" si="30"/>
        <v>-991.54</v>
      </c>
      <c r="L117" s="89">
        <f t="shared" si="34"/>
        <v>24</v>
      </c>
      <c r="M117" s="89">
        <f t="shared" si="35"/>
        <v>-985.19997599999999</v>
      </c>
      <c r="N117" s="89"/>
      <c r="O117" s="89"/>
      <c r="P117" s="89"/>
      <c r="Q117" s="89"/>
      <c r="R117" s="89"/>
      <c r="S117" s="89"/>
    </row>
    <row r="118" spans="1:19" hidden="1" x14ac:dyDescent="0.4">
      <c r="A118" s="87" t="s">
        <v>106</v>
      </c>
      <c r="B118" s="88">
        <v>44.419998</v>
      </c>
      <c r="C118" s="88">
        <v>48.060001</v>
      </c>
      <c r="D118" s="88">
        <v>43.68</v>
      </c>
      <c r="E118" s="88">
        <v>47.209999000000003</v>
      </c>
      <c r="F118" s="89">
        <f t="shared" si="31"/>
        <v>22</v>
      </c>
      <c r="G118" s="89">
        <f t="shared" si="28"/>
        <v>-977.23995600000001</v>
      </c>
      <c r="H118" s="89">
        <f t="shared" si="32"/>
        <v>21</v>
      </c>
      <c r="I118" s="89">
        <f t="shared" si="33"/>
        <v>-991.40997900000002</v>
      </c>
      <c r="J118" s="89">
        <f t="shared" si="29"/>
        <v>20</v>
      </c>
      <c r="K118" s="89">
        <f t="shared" si="30"/>
        <v>-961.20001999999999</v>
      </c>
      <c r="L118" s="89">
        <f t="shared" si="34"/>
        <v>22</v>
      </c>
      <c r="M118" s="89">
        <f t="shared" si="35"/>
        <v>-960.96</v>
      </c>
      <c r="N118" s="89"/>
      <c r="O118" s="89"/>
      <c r="P118" s="89"/>
      <c r="Q118" s="89"/>
      <c r="R118" s="89"/>
      <c r="S118" s="89"/>
    </row>
    <row r="119" spans="1:19" hidden="1" x14ac:dyDescent="0.4">
      <c r="A119" s="87" t="s">
        <v>107</v>
      </c>
      <c r="B119" s="88">
        <v>47.23</v>
      </c>
      <c r="C119" s="88">
        <v>50.470001000000003</v>
      </c>
      <c r="D119" s="88">
        <v>47.220001000000003</v>
      </c>
      <c r="E119" s="88">
        <v>50.009998000000003</v>
      </c>
      <c r="F119" s="89">
        <f t="shared" si="31"/>
        <v>21</v>
      </c>
      <c r="G119" s="89">
        <f t="shared" si="28"/>
        <v>-991.82999999999993</v>
      </c>
      <c r="H119" s="89">
        <f t="shared" si="32"/>
        <v>19</v>
      </c>
      <c r="I119" s="89">
        <f t="shared" si="33"/>
        <v>-950.18996200000004</v>
      </c>
      <c r="J119" s="89">
        <f t="shared" si="29"/>
        <v>19</v>
      </c>
      <c r="K119" s="89">
        <f t="shared" si="30"/>
        <v>-958.93001900000002</v>
      </c>
      <c r="L119" s="89">
        <f t="shared" si="34"/>
        <v>21</v>
      </c>
      <c r="M119" s="89">
        <f t="shared" si="35"/>
        <v>-991.62002100000007</v>
      </c>
      <c r="N119" s="89"/>
      <c r="O119" s="89"/>
      <c r="P119" s="89">
        <f t="shared" ref="P119" si="48">INT(P$1/MAX(C108:C119))</f>
        <v>217</v>
      </c>
      <c r="Q119" s="89">
        <f t="shared" ref="Q119" si="49">P119*-MAX(C108:C119)</f>
        <v>-11950.19</v>
      </c>
      <c r="R119" s="89">
        <f t="shared" ref="R119" si="50">INT(R$1/MIN(D108:D119))</f>
        <v>292</v>
      </c>
      <c r="S119" s="89">
        <f t="shared" ref="S119" si="51">R119*-MIN(D108:D119)</f>
        <v>-11986.599708</v>
      </c>
    </row>
    <row r="120" spans="1:19" hidden="1" x14ac:dyDescent="0.4">
      <c r="A120" s="87" t="s">
        <v>108</v>
      </c>
      <c r="B120" s="88">
        <v>49.919998</v>
      </c>
      <c r="C120" s="88">
        <v>50.610000999999997</v>
      </c>
      <c r="D120" s="88">
        <v>44.970001000000003</v>
      </c>
      <c r="E120" s="88">
        <v>45.169998</v>
      </c>
      <c r="F120" s="89">
        <f t="shared" si="31"/>
        <v>20</v>
      </c>
      <c r="G120" s="89">
        <f t="shared" si="28"/>
        <v>-998.39995999999996</v>
      </c>
      <c r="H120" s="89">
        <f t="shared" si="32"/>
        <v>22</v>
      </c>
      <c r="I120" s="89">
        <f t="shared" si="33"/>
        <v>-993.73995600000001</v>
      </c>
      <c r="J120" s="89">
        <f t="shared" si="29"/>
        <v>19</v>
      </c>
      <c r="K120" s="89">
        <f t="shared" si="30"/>
        <v>-961.59001899999998</v>
      </c>
      <c r="L120" s="89">
        <f t="shared" si="34"/>
        <v>22</v>
      </c>
      <c r="M120" s="89">
        <f t="shared" si="35"/>
        <v>-989.34002200000009</v>
      </c>
      <c r="N120" s="89"/>
      <c r="O120" s="89"/>
      <c r="P120" s="89"/>
      <c r="Q120" s="89"/>
      <c r="R120" s="89"/>
      <c r="S120" s="89"/>
    </row>
    <row r="121" spans="1:19" hidden="1" x14ac:dyDescent="0.4">
      <c r="A121" s="87" t="s">
        <v>109</v>
      </c>
      <c r="B121" s="88">
        <v>44.810001</v>
      </c>
      <c r="C121" s="88">
        <v>46.150002000000001</v>
      </c>
      <c r="D121" s="88">
        <v>43.299999</v>
      </c>
      <c r="E121" s="88">
        <v>45.459999000000003</v>
      </c>
      <c r="F121" s="89">
        <f t="shared" si="31"/>
        <v>22</v>
      </c>
      <c r="G121" s="89">
        <f t="shared" si="28"/>
        <v>-985.82002199999999</v>
      </c>
      <c r="H121" s="89">
        <f t="shared" si="32"/>
        <v>21</v>
      </c>
      <c r="I121" s="89">
        <f t="shared" si="33"/>
        <v>-954.65997900000002</v>
      </c>
      <c r="J121" s="89">
        <f t="shared" si="29"/>
        <v>21</v>
      </c>
      <c r="K121" s="89">
        <f t="shared" si="30"/>
        <v>-969.15004199999998</v>
      </c>
      <c r="L121" s="89">
        <f t="shared" si="34"/>
        <v>23</v>
      </c>
      <c r="M121" s="89">
        <f t="shared" si="35"/>
        <v>-995.89997700000004</v>
      </c>
      <c r="N121" s="89"/>
      <c r="O121" s="89"/>
      <c r="P121" s="89"/>
      <c r="Q121" s="89"/>
      <c r="R121" s="89"/>
      <c r="S121" s="89"/>
    </row>
    <row r="122" spans="1:19" hidden="1" x14ac:dyDescent="0.4">
      <c r="A122" s="87" t="s">
        <v>110</v>
      </c>
      <c r="B122" s="88">
        <v>45.509998000000003</v>
      </c>
      <c r="C122" s="88">
        <v>48.57</v>
      </c>
      <c r="D122" s="88">
        <v>44.299999</v>
      </c>
      <c r="E122" s="88">
        <v>46.119999</v>
      </c>
      <c r="F122" s="89">
        <f t="shared" si="31"/>
        <v>21</v>
      </c>
      <c r="G122" s="89">
        <f t="shared" si="28"/>
        <v>-955.70995800000003</v>
      </c>
      <c r="H122" s="89">
        <f t="shared" si="32"/>
        <v>21</v>
      </c>
      <c r="I122" s="89">
        <f t="shared" si="33"/>
        <v>-968.51997900000003</v>
      </c>
      <c r="J122" s="89">
        <f t="shared" si="29"/>
        <v>20</v>
      </c>
      <c r="K122" s="89">
        <f t="shared" si="30"/>
        <v>-971.4</v>
      </c>
      <c r="L122" s="89">
        <f t="shared" si="34"/>
        <v>22</v>
      </c>
      <c r="M122" s="89">
        <f t="shared" si="35"/>
        <v>-974.59997799999996</v>
      </c>
      <c r="N122" s="89"/>
      <c r="O122" s="89"/>
      <c r="P122" s="89"/>
      <c r="Q122" s="89"/>
      <c r="R122" s="89"/>
      <c r="S122" s="89"/>
    </row>
    <row r="123" spans="1:19" hidden="1" x14ac:dyDescent="0.4">
      <c r="A123" s="87" t="s">
        <v>111</v>
      </c>
      <c r="B123" s="88">
        <v>46.869999</v>
      </c>
      <c r="C123" s="88">
        <v>47.080002</v>
      </c>
      <c r="D123" s="88">
        <v>37.18</v>
      </c>
      <c r="E123" s="88">
        <v>38.909999999999997</v>
      </c>
      <c r="F123" s="89">
        <f t="shared" si="31"/>
        <v>21</v>
      </c>
      <c r="G123" s="89">
        <f t="shared" si="28"/>
        <v>-984.26997900000003</v>
      </c>
      <c r="H123" s="89">
        <f t="shared" si="32"/>
        <v>25</v>
      </c>
      <c r="I123" s="89">
        <f t="shared" si="33"/>
        <v>-972.74999999999989</v>
      </c>
      <c r="J123" s="89">
        <f t="shared" si="29"/>
        <v>21</v>
      </c>
      <c r="K123" s="89">
        <f t="shared" si="30"/>
        <v>-988.68004199999996</v>
      </c>
      <c r="L123" s="89">
        <f t="shared" si="34"/>
        <v>26</v>
      </c>
      <c r="M123" s="89">
        <f t="shared" si="35"/>
        <v>-966.68</v>
      </c>
      <c r="N123" s="89"/>
      <c r="O123" s="89"/>
      <c r="P123" s="89"/>
      <c r="Q123" s="89"/>
      <c r="R123" s="89"/>
      <c r="S123" s="89"/>
    </row>
    <row r="124" spans="1:19" hidden="1" x14ac:dyDescent="0.4">
      <c r="A124" s="87" t="s">
        <v>112</v>
      </c>
      <c r="B124" s="88">
        <v>38.840000000000003</v>
      </c>
      <c r="C124" s="88">
        <v>38.970001000000003</v>
      </c>
      <c r="D124" s="88">
        <v>28.09</v>
      </c>
      <c r="E124" s="88">
        <v>32.889999000000003</v>
      </c>
      <c r="F124" s="89">
        <f t="shared" si="31"/>
        <v>25</v>
      </c>
      <c r="G124" s="89">
        <f t="shared" si="28"/>
        <v>-971.00000000000011</v>
      </c>
      <c r="H124" s="89">
        <f t="shared" si="32"/>
        <v>30</v>
      </c>
      <c r="I124" s="89">
        <f t="shared" si="33"/>
        <v>-986.69997000000012</v>
      </c>
      <c r="J124" s="89">
        <f t="shared" si="29"/>
        <v>25</v>
      </c>
      <c r="K124" s="89">
        <f t="shared" si="30"/>
        <v>-974.25002500000005</v>
      </c>
      <c r="L124" s="89">
        <f t="shared" si="34"/>
        <v>35</v>
      </c>
      <c r="M124" s="89">
        <f t="shared" si="35"/>
        <v>-983.15</v>
      </c>
      <c r="N124" s="89"/>
      <c r="O124" s="89"/>
      <c r="P124" s="89"/>
      <c r="Q124" s="89"/>
      <c r="R124" s="89"/>
      <c r="S124" s="89"/>
    </row>
    <row r="125" spans="1:19" hidden="1" x14ac:dyDescent="0.4">
      <c r="A125" s="87" t="s">
        <v>113</v>
      </c>
      <c r="B125" s="88">
        <v>32.810001</v>
      </c>
      <c r="C125" s="88">
        <v>34.009998000000003</v>
      </c>
      <c r="D125" s="88">
        <v>25.049999</v>
      </c>
      <c r="E125" s="88">
        <v>29.120000999999998</v>
      </c>
      <c r="F125" s="89">
        <f t="shared" si="31"/>
        <v>30</v>
      </c>
      <c r="G125" s="89">
        <f t="shared" si="28"/>
        <v>-984.30002999999999</v>
      </c>
      <c r="H125" s="89">
        <f t="shared" si="32"/>
        <v>34</v>
      </c>
      <c r="I125" s="89">
        <f t="shared" si="33"/>
        <v>-990.08003399999996</v>
      </c>
      <c r="J125" s="89">
        <f t="shared" si="29"/>
        <v>29</v>
      </c>
      <c r="K125" s="89">
        <f t="shared" si="30"/>
        <v>-986.28994200000011</v>
      </c>
      <c r="L125" s="89">
        <f t="shared" si="34"/>
        <v>39</v>
      </c>
      <c r="M125" s="89">
        <f t="shared" si="35"/>
        <v>-976.94996100000003</v>
      </c>
      <c r="N125" s="89"/>
      <c r="O125" s="89"/>
      <c r="P125" s="89"/>
      <c r="Q125" s="89"/>
      <c r="R125" s="89"/>
      <c r="S125" s="89"/>
    </row>
    <row r="126" spans="1:19" hidden="1" x14ac:dyDescent="0.4">
      <c r="A126" s="87" t="s">
        <v>114</v>
      </c>
      <c r="B126" s="88">
        <v>28.5</v>
      </c>
      <c r="C126" s="88">
        <v>30.83</v>
      </c>
      <c r="D126" s="88">
        <v>26.84</v>
      </c>
      <c r="E126" s="88">
        <v>29.74</v>
      </c>
      <c r="F126" s="89">
        <f t="shared" si="31"/>
        <v>35</v>
      </c>
      <c r="G126" s="89">
        <f t="shared" si="28"/>
        <v>-997.5</v>
      </c>
      <c r="H126" s="89">
        <f t="shared" si="32"/>
        <v>33</v>
      </c>
      <c r="I126" s="89">
        <f t="shared" si="33"/>
        <v>-981.42</v>
      </c>
      <c r="J126" s="89">
        <f t="shared" si="29"/>
        <v>32</v>
      </c>
      <c r="K126" s="89">
        <f t="shared" si="30"/>
        <v>-986.56</v>
      </c>
      <c r="L126" s="89">
        <f t="shared" si="34"/>
        <v>37</v>
      </c>
      <c r="M126" s="89">
        <f t="shared" si="35"/>
        <v>-993.08</v>
      </c>
      <c r="N126" s="89"/>
      <c r="O126" s="89"/>
      <c r="P126" s="89"/>
      <c r="Q126" s="89"/>
      <c r="R126" s="89"/>
      <c r="S126" s="89"/>
    </row>
    <row r="127" spans="1:19" hidden="1" x14ac:dyDescent="0.4">
      <c r="A127" s="87" t="s">
        <v>115</v>
      </c>
      <c r="B127" s="88">
        <v>29.75</v>
      </c>
      <c r="C127" s="88">
        <v>31.629999000000002</v>
      </c>
      <c r="D127" s="88">
        <v>27.959999</v>
      </c>
      <c r="E127" s="88">
        <v>29.059999000000001</v>
      </c>
      <c r="F127" s="89">
        <f t="shared" si="31"/>
        <v>33</v>
      </c>
      <c r="G127" s="89">
        <f t="shared" si="28"/>
        <v>-981.75</v>
      </c>
      <c r="H127" s="89">
        <f t="shared" si="32"/>
        <v>34</v>
      </c>
      <c r="I127" s="89">
        <f t="shared" si="33"/>
        <v>-988.03996600000005</v>
      </c>
      <c r="J127" s="89">
        <f t="shared" si="29"/>
        <v>31</v>
      </c>
      <c r="K127" s="89">
        <f t="shared" si="30"/>
        <v>-980.52996900000005</v>
      </c>
      <c r="L127" s="89">
        <f t="shared" si="34"/>
        <v>35</v>
      </c>
      <c r="M127" s="89">
        <f t="shared" si="35"/>
        <v>-978.599965</v>
      </c>
      <c r="N127" s="89"/>
      <c r="O127" s="89"/>
      <c r="P127" s="89"/>
      <c r="Q127" s="89"/>
      <c r="R127" s="89"/>
      <c r="S127" s="89"/>
    </row>
    <row r="128" spans="1:19" hidden="1" x14ac:dyDescent="0.4">
      <c r="A128" s="87" t="s">
        <v>116</v>
      </c>
      <c r="B128" s="88">
        <v>28.780000999999999</v>
      </c>
      <c r="C128" s="88">
        <v>31.68</v>
      </c>
      <c r="D128" s="88">
        <v>27.389999</v>
      </c>
      <c r="E128" s="88">
        <v>27.530000999999999</v>
      </c>
      <c r="F128" s="89">
        <f t="shared" si="31"/>
        <v>34</v>
      </c>
      <c r="G128" s="89">
        <f t="shared" si="28"/>
        <v>-978.5200339999999</v>
      </c>
      <c r="H128" s="89">
        <f t="shared" si="32"/>
        <v>36</v>
      </c>
      <c r="I128" s="89">
        <f t="shared" si="33"/>
        <v>-991.08003599999995</v>
      </c>
      <c r="J128" s="89">
        <f t="shared" si="29"/>
        <v>31</v>
      </c>
      <c r="K128" s="89">
        <f t="shared" si="30"/>
        <v>-982.08</v>
      </c>
      <c r="L128" s="89">
        <f t="shared" si="34"/>
        <v>36</v>
      </c>
      <c r="M128" s="89">
        <f t="shared" si="35"/>
        <v>-986.03996399999994</v>
      </c>
      <c r="N128" s="89"/>
      <c r="O128" s="89"/>
      <c r="P128" s="89"/>
      <c r="Q128" s="89"/>
      <c r="R128" s="89"/>
      <c r="S128" s="89"/>
    </row>
    <row r="129" spans="1:19" hidden="1" x14ac:dyDescent="0.4">
      <c r="A129" s="87" t="s">
        <v>117</v>
      </c>
      <c r="B129" s="88">
        <v>27.120000999999998</v>
      </c>
      <c r="C129" s="88">
        <v>31.459999</v>
      </c>
      <c r="D129" s="88">
        <v>25.629999000000002</v>
      </c>
      <c r="E129" s="88">
        <v>30.32</v>
      </c>
      <c r="F129" s="89">
        <f t="shared" si="31"/>
        <v>36</v>
      </c>
      <c r="G129" s="89">
        <f t="shared" si="28"/>
        <v>-976.32003599999996</v>
      </c>
      <c r="H129" s="89">
        <f t="shared" si="32"/>
        <v>32</v>
      </c>
      <c r="I129" s="89">
        <f t="shared" si="33"/>
        <v>-970.24</v>
      </c>
      <c r="J129" s="89">
        <f t="shared" si="29"/>
        <v>31</v>
      </c>
      <c r="K129" s="89">
        <f t="shared" si="30"/>
        <v>-975.25996899999996</v>
      </c>
      <c r="L129" s="89">
        <f t="shared" si="34"/>
        <v>39</v>
      </c>
      <c r="M129" s="89">
        <f t="shared" si="35"/>
        <v>-999.56996100000003</v>
      </c>
      <c r="N129" s="89"/>
      <c r="O129" s="89"/>
      <c r="P129" s="89"/>
      <c r="Q129" s="89"/>
      <c r="R129" s="89"/>
      <c r="S129" s="89"/>
    </row>
    <row r="130" spans="1:19" hidden="1" x14ac:dyDescent="0.4">
      <c r="A130" s="87" t="s">
        <v>118</v>
      </c>
      <c r="B130" s="88">
        <v>29.940000999999999</v>
      </c>
      <c r="C130" s="88">
        <v>34.900002000000001</v>
      </c>
      <c r="D130" s="88">
        <v>29.790001</v>
      </c>
      <c r="E130" s="88">
        <v>34.279998999999997</v>
      </c>
      <c r="F130" s="89">
        <f t="shared" si="31"/>
        <v>33</v>
      </c>
      <c r="G130" s="89">
        <f t="shared" si="28"/>
        <v>-988.02003300000001</v>
      </c>
      <c r="H130" s="89">
        <f t="shared" si="32"/>
        <v>29</v>
      </c>
      <c r="I130" s="89">
        <f t="shared" si="33"/>
        <v>-994.11997099999985</v>
      </c>
      <c r="J130" s="89">
        <f t="shared" si="29"/>
        <v>28</v>
      </c>
      <c r="K130" s="89">
        <f t="shared" si="30"/>
        <v>-977.20005600000002</v>
      </c>
      <c r="L130" s="89">
        <f t="shared" si="34"/>
        <v>33</v>
      </c>
      <c r="M130" s="89">
        <f t="shared" si="35"/>
        <v>-983.07003299999997</v>
      </c>
      <c r="N130" s="89"/>
      <c r="O130" s="89"/>
      <c r="P130" s="89"/>
      <c r="Q130" s="89"/>
      <c r="R130" s="89"/>
      <c r="S130" s="89"/>
    </row>
    <row r="131" spans="1:19" hidden="1" x14ac:dyDescent="0.4">
      <c r="A131" s="87" t="s">
        <v>119</v>
      </c>
      <c r="B131" s="88">
        <v>34.270000000000003</v>
      </c>
      <c r="C131" s="88">
        <v>35.5</v>
      </c>
      <c r="D131" s="88">
        <v>32.959999000000003</v>
      </c>
      <c r="E131" s="88">
        <v>35.380001</v>
      </c>
      <c r="F131" s="89">
        <f t="shared" si="31"/>
        <v>29</v>
      </c>
      <c r="G131" s="89">
        <f t="shared" si="28"/>
        <v>-993.83</v>
      </c>
      <c r="H131" s="89">
        <f t="shared" si="32"/>
        <v>28</v>
      </c>
      <c r="I131" s="89">
        <f t="shared" si="33"/>
        <v>-990.64002800000003</v>
      </c>
      <c r="J131" s="89">
        <f t="shared" si="29"/>
        <v>28</v>
      </c>
      <c r="K131" s="89">
        <f t="shared" si="30"/>
        <v>-994</v>
      </c>
      <c r="L131" s="89">
        <f t="shared" si="34"/>
        <v>30</v>
      </c>
      <c r="M131" s="89">
        <f t="shared" si="35"/>
        <v>-988.79997000000014</v>
      </c>
      <c r="N131" s="89"/>
      <c r="O131" s="89"/>
      <c r="P131" s="89">
        <f t="shared" ref="P131" si="52">INT(P$1/MAX(C120:C131))</f>
        <v>237</v>
      </c>
      <c r="Q131" s="89">
        <f t="shared" ref="Q131" si="53">P131*-MAX(C120:C131)</f>
        <v>-11994.570237</v>
      </c>
      <c r="R131" s="89">
        <f t="shared" ref="R131" si="54">INT(R$1/MIN(D120:D131))</f>
        <v>479</v>
      </c>
      <c r="S131" s="89">
        <f t="shared" ref="S131" si="55">R131*-MIN(D120:D131)</f>
        <v>-11998.949521</v>
      </c>
    </row>
    <row r="132" spans="1:19" hidden="1" x14ac:dyDescent="0.4">
      <c r="A132" s="87" t="s">
        <v>120</v>
      </c>
      <c r="B132" s="88">
        <v>35.759998000000003</v>
      </c>
      <c r="C132" s="88">
        <v>37.229999999999997</v>
      </c>
      <c r="D132" s="88">
        <v>34.770000000000003</v>
      </c>
      <c r="E132" s="88">
        <v>36.380001</v>
      </c>
      <c r="F132" s="89">
        <f t="shared" si="31"/>
        <v>27</v>
      </c>
      <c r="G132" s="89">
        <f t="shared" si="28"/>
        <v>-965.51994600000012</v>
      </c>
      <c r="H132" s="89">
        <f t="shared" si="32"/>
        <v>27</v>
      </c>
      <c r="I132" s="89">
        <f t="shared" si="33"/>
        <v>-982.26002700000004</v>
      </c>
      <c r="J132" s="89">
        <f t="shared" si="29"/>
        <v>26</v>
      </c>
      <c r="K132" s="89">
        <f t="shared" si="30"/>
        <v>-967.9799999999999</v>
      </c>
      <c r="L132" s="89">
        <f t="shared" si="34"/>
        <v>28</v>
      </c>
      <c r="M132" s="89">
        <f t="shared" si="35"/>
        <v>-973.56000000000006</v>
      </c>
      <c r="N132" s="89"/>
      <c r="O132" s="89"/>
      <c r="P132" s="89"/>
      <c r="Q132" s="89"/>
      <c r="R132" s="89"/>
      <c r="S132" s="89"/>
    </row>
    <row r="133" spans="1:19" hidden="1" x14ac:dyDescent="0.4">
      <c r="A133" s="87" t="s">
        <v>121</v>
      </c>
      <c r="B133" s="88">
        <v>36.560001</v>
      </c>
      <c r="C133" s="88">
        <v>40.18</v>
      </c>
      <c r="D133" s="88">
        <v>34.299999</v>
      </c>
      <c r="E133" s="88">
        <v>39.450001</v>
      </c>
      <c r="F133" s="89">
        <f t="shared" si="31"/>
        <v>27</v>
      </c>
      <c r="G133" s="89">
        <f t="shared" si="28"/>
        <v>-987.12002699999994</v>
      </c>
      <c r="H133" s="89">
        <f t="shared" si="32"/>
        <v>25</v>
      </c>
      <c r="I133" s="89">
        <f t="shared" si="33"/>
        <v>-986.25002500000005</v>
      </c>
      <c r="J133" s="89">
        <f t="shared" si="29"/>
        <v>24</v>
      </c>
      <c r="K133" s="89">
        <f t="shared" si="30"/>
        <v>-964.31999999999994</v>
      </c>
      <c r="L133" s="89">
        <f t="shared" si="34"/>
        <v>29</v>
      </c>
      <c r="M133" s="89">
        <f t="shared" si="35"/>
        <v>-994.69997100000001</v>
      </c>
      <c r="N133" s="89"/>
      <c r="O133" s="89"/>
      <c r="P133" s="89"/>
      <c r="Q133" s="89"/>
      <c r="R133" s="89"/>
      <c r="S133" s="89"/>
    </row>
    <row r="134" spans="1:19" hidden="1" x14ac:dyDescent="0.4">
      <c r="A134" s="87" t="s">
        <v>122</v>
      </c>
      <c r="B134" s="88">
        <v>39.869999</v>
      </c>
      <c r="C134" s="88">
        <v>41.080002</v>
      </c>
      <c r="D134" s="88">
        <v>38.459999000000003</v>
      </c>
      <c r="E134" s="88">
        <v>40.029998999999997</v>
      </c>
      <c r="F134" s="89">
        <f t="shared" si="31"/>
        <v>25</v>
      </c>
      <c r="G134" s="89">
        <f t="shared" si="28"/>
        <v>-996.74997499999995</v>
      </c>
      <c r="H134" s="89">
        <f t="shared" si="32"/>
        <v>24</v>
      </c>
      <c r="I134" s="89">
        <f t="shared" si="33"/>
        <v>-960.71997599999986</v>
      </c>
      <c r="J134" s="89">
        <f t="shared" si="29"/>
        <v>24</v>
      </c>
      <c r="K134" s="89">
        <f t="shared" si="30"/>
        <v>-985.92004799999995</v>
      </c>
      <c r="L134" s="89">
        <f t="shared" si="34"/>
        <v>26</v>
      </c>
      <c r="M134" s="89">
        <f t="shared" si="35"/>
        <v>-999.9599740000001</v>
      </c>
      <c r="N134" s="89"/>
      <c r="O134" s="89"/>
      <c r="P134" s="89"/>
      <c r="Q134" s="89"/>
      <c r="R134" s="89"/>
      <c r="S134" s="89"/>
    </row>
    <row r="135" spans="1:19" hidden="1" x14ac:dyDescent="0.4">
      <c r="A135" s="87" t="s">
        <v>123</v>
      </c>
      <c r="B135" s="88">
        <v>39.889999000000003</v>
      </c>
      <c r="C135" s="88">
        <v>43.169998</v>
      </c>
      <c r="D135" s="88">
        <v>39.020000000000003</v>
      </c>
      <c r="E135" s="88">
        <v>42.25</v>
      </c>
      <c r="F135" s="89">
        <f t="shared" si="31"/>
        <v>25</v>
      </c>
      <c r="G135" s="89">
        <f t="shared" si="28"/>
        <v>-997.24997500000006</v>
      </c>
      <c r="H135" s="89">
        <f t="shared" si="32"/>
        <v>23</v>
      </c>
      <c r="I135" s="89">
        <f t="shared" si="33"/>
        <v>-971.75</v>
      </c>
      <c r="J135" s="89">
        <f t="shared" si="29"/>
        <v>23</v>
      </c>
      <c r="K135" s="89">
        <f t="shared" si="30"/>
        <v>-992.90995399999997</v>
      </c>
      <c r="L135" s="89">
        <f t="shared" si="34"/>
        <v>25</v>
      </c>
      <c r="M135" s="89">
        <f t="shared" si="35"/>
        <v>-975.50000000000011</v>
      </c>
      <c r="N135" s="89"/>
      <c r="O135" s="89"/>
      <c r="P135" s="89"/>
      <c r="Q135" s="89"/>
      <c r="R135" s="89"/>
      <c r="S135" s="89"/>
    </row>
    <row r="136" spans="1:19" hidden="1" x14ac:dyDescent="0.4">
      <c r="A136" s="87" t="s">
        <v>124</v>
      </c>
      <c r="B136" s="88">
        <v>42.099997999999999</v>
      </c>
      <c r="C136" s="88">
        <v>43.82</v>
      </c>
      <c r="D136" s="88">
        <v>40.720001000000003</v>
      </c>
      <c r="E136" s="88">
        <v>40.959999000000003</v>
      </c>
      <c r="F136" s="89">
        <f t="shared" si="31"/>
        <v>23</v>
      </c>
      <c r="G136" s="89">
        <f t="shared" si="28"/>
        <v>-968.29995399999996</v>
      </c>
      <c r="H136" s="89">
        <f t="shared" si="32"/>
        <v>24</v>
      </c>
      <c r="I136" s="89">
        <f t="shared" si="33"/>
        <v>-983.03997600000002</v>
      </c>
      <c r="J136" s="89">
        <f t="shared" si="29"/>
        <v>22</v>
      </c>
      <c r="K136" s="89">
        <f t="shared" si="30"/>
        <v>-964.04</v>
      </c>
      <c r="L136" s="89">
        <f t="shared" si="34"/>
        <v>24</v>
      </c>
      <c r="M136" s="89">
        <f t="shared" si="35"/>
        <v>-977.28002400000014</v>
      </c>
      <c r="N136" s="89"/>
      <c r="O136" s="89"/>
      <c r="P136" s="89"/>
      <c r="Q136" s="89"/>
      <c r="R136" s="89"/>
      <c r="S136" s="89"/>
    </row>
    <row r="137" spans="1:19" hidden="1" x14ac:dyDescent="0.4">
      <c r="A137" s="87" t="s">
        <v>125</v>
      </c>
      <c r="B137" s="88">
        <v>41</v>
      </c>
      <c r="C137" s="88">
        <v>44.650002000000001</v>
      </c>
      <c r="D137" s="88">
        <v>40.639999000000003</v>
      </c>
      <c r="E137" s="88">
        <v>43.560001</v>
      </c>
      <c r="F137" s="89">
        <f t="shared" si="31"/>
        <v>24</v>
      </c>
      <c r="G137" s="89">
        <f t="shared" si="28"/>
        <v>-984</v>
      </c>
      <c r="H137" s="89">
        <f t="shared" si="32"/>
        <v>22</v>
      </c>
      <c r="I137" s="89">
        <f t="shared" si="33"/>
        <v>-958.32002199999999</v>
      </c>
      <c r="J137" s="89">
        <f t="shared" si="29"/>
        <v>22</v>
      </c>
      <c r="K137" s="89">
        <f t="shared" si="30"/>
        <v>-982.30004400000007</v>
      </c>
      <c r="L137" s="89">
        <f t="shared" si="34"/>
        <v>24</v>
      </c>
      <c r="M137" s="89">
        <f t="shared" si="35"/>
        <v>-975.35997600000007</v>
      </c>
      <c r="N137" s="89"/>
      <c r="O137" s="89"/>
      <c r="P137" s="89"/>
      <c r="Q137" s="89"/>
      <c r="R137" s="89"/>
      <c r="S137" s="89"/>
    </row>
    <row r="138" spans="1:19" hidden="1" x14ac:dyDescent="0.4">
      <c r="A138" s="87" t="s">
        <v>126</v>
      </c>
      <c r="B138" s="88">
        <v>43.889999000000003</v>
      </c>
      <c r="C138" s="88">
        <v>46.299999</v>
      </c>
      <c r="D138" s="88">
        <v>43.32</v>
      </c>
      <c r="E138" s="88">
        <v>45.75</v>
      </c>
      <c r="F138" s="89">
        <f t="shared" si="31"/>
        <v>22</v>
      </c>
      <c r="G138" s="89">
        <f t="shared" si="28"/>
        <v>-965.5799780000001</v>
      </c>
      <c r="H138" s="89">
        <f t="shared" si="32"/>
        <v>21</v>
      </c>
      <c r="I138" s="89">
        <f t="shared" si="33"/>
        <v>-960.75</v>
      </c>
      <c r="J138" s="89">
        <f t="shared" si="29"/>
        <v>21</v>
      </c>
      <c r="K138" s="89">
        <f t="shared" si="30"/>
        <v>-972.29997900000001</v>
      </c>
      <c r="L138" s="89">
        <f t="shared" si="34"/>
        <v>23</v>
      </c>
      <c r="M138" s="89">
        <f t="shared" si="35"/>
        <v>-996.36</v>
      </c>
      <c r="N138" s="89"/>
      <c r="O138" s="89"/>
      <c r="P138" s="89"/>
      <c r="Q138" s="89"/>
      <c r="R138" s="89"/>
      <c r="S138" s="89"/>
    </row>
    <row r="139" spans="1:19" hidden="1" x14ac:dyDescent="0.4">
      <c r="A139" s="87" t="s">
        <v>127</v>
      </c>
      <c r="B139" s="88">
        <v>46.330002</v>
      </c>
      <c r="C139" s="88">
        <v>46.639999000000003</v>
      </c>
      <c r="D139" s="88">
        <v>42.630001</v>
      </c>
      <c r="E139" s="88">
        <v>42.790000999999997</v>
      </c>
      <c r="F139" s="89">
        <f t="shared" si="31"/>
        <v>21</v>
      </c>
      <c r="G139" s="89">
        <f t="shared" si="28"/>
        <v>-972.93004199999996</v>
      </c>
      <c r="H139" s="89">
        <f t="shared" si="32"/>
        <v>23</v>
      </c>
      <c r="I139" s="89">
        <f t="shared" si="33"/>
        <v>-984.1700229999999</v>
      </c>
      <c r="J139" s="89">
        <f t="shared" si="29"/>
        <v>21</v>
      </c>
      <c r="K139" s="89">
        <f t="shared" si="30"/>
        <v>-979.43997900000011</v>
      </c>
      <c r="L139" s="89">
        <f t="shared" si="34"/>
        <v>23</v>
      </c>
      <c r="M139" s="89">
        <f t="shared" si="35"/>
        <v>-980.49002299999995</v>
      </c>
      <c r="N139" s="89"/>
      <c r="O139" s="89"/>
      <c r="P139" s="89"/>
      <c r="Q139" s="89"/>
      <c r="R139" s="89"/>
      <c r="S139" s="89"/>
    </row>
    <row r="140" spans="1:19" hidden="1" x14ac:dyDescent="0.4">
      <c r="A140" s="87" t="s">
        <v>128</v>
      </c>
      <c r="B140" s="88">
        <v>42.900002000000001</v>
      </c>
      <c r="C140" s="88">
        <v>45.049999</v>
      </c>
      <c r="D140" s="88">
        <v>42.119999</v>
      </c>
      <c r="E140" s="88">
        <v>44.759998000000003</v>
      </c>
      <c r="F140" s="89">
        <f t="shared" si="31"/>
        <v>23</v>
      </c>
      <c r="G140" s="89">
        <f t="shared" ref="G140:G203" si="56">-F140*B140</f>
        <v>-986.70004600000004</v>
      </c>
      <c r="H140" s="89">
        <f t="shared" si="32"/>
        <v>22</v>
      </c>
      <c r="I140" s="89">
        <f t="shared" si="33"/>
        <v>-984.71995600000002</v>
      </c>
      <c r="J140" s="89">
        <f t="shared" ref="J140:J203" si="57">INT(J$1/$C140)</f>
        <v>22</v>
      </c>
      <c r="K140" s="89">
        <f t="shared" ref="K140:K203" si="58">-J140*$C140</f>
        <v>-991.09997799999996</v>
      </c>
      <c r="L140" s="89">
        <f t="shared" si="34"/>
        <v>23</v>
      </c>
      <c r="M140" s="89">
        <f t="shared" si="35"/>
        <v>-968.75997700000005</v>
      </c>
      <c r="N140" s="89"/>
      <c r="O140" s="89"/>
      <c r="P140" s="89"/>
      <c r="Q140" s="89"/>
      <c r="R140" s="89"/>
      <c r="S140" s="89"/>
    </row>
    <row r="141" spans="1:19" hidden="1" x14ac:dyDescent="0.4">
      <c r="A141" s="87" t="s">
        <v>129</v>
      </c>
      <c r="B141" s="88">
        <v>44.959999000000003</v>
      </c>
      <c r="C141" s="88">
        <v>48.599997999999999</v>
      </c>
      <c r="D141" s="88">
        <v>44.950001</v>
      </c>
      <c r="E141" s="88">
        <v>48.16</v>
      </c>
      <c r="F141" s="89">
        <f t="shared" ref="F141:F204" si="59">INT(F$1/$B141)</f>
        <v>22</v>
      </c>
      <c r="G141" s="89">
        <f t="shared" si="56"/>
        <v>-989.11997800000006</v>
      </c>
      <c r="H141" s="89">
        <f t="shared" ref="H141:H204" si="60">INT(H$1/$E141)</f>
        <v>20</v>
      </c>
      <c r="I141" s="89">
        <f t="shared" ref="I141:I204" si="61">-H141*$E141</f>
        <v>-963.19999999999993</v>
      </c>
      <c r="J141" s="89">
        <f t="shared" si="57"/>
        <v>20</v>
      </c>
      <c r="K141" s="89">
        <f t="shared" si="58"/>
        <v>-971.99995999999999</v>
      </c>
      <c r="L141" s="89">
        <f t="shared" ref="L141:L204" si="62">INT(L$1/$D141)</f>
        <v>22</v>
      </c>
      <c r="M141" s="89">
        <f t="shared" ref="M141:M204" si="63">-L141*$D141</f>
        <v>-988.90002200000004</v>
      </c>
      <c r="N141" s="89"/>
      <c r="O141" s="89"/>
      <c r="P141" s="89"/>
      <c r="Q141" s="89"/>
      <c r="R141" s="89"/>
      <c r="S141" s="89"/>
    </row>
    <row r="142" spans="1:19" hidden="1" x14ac:dyDescent="0.4">
      <c r="A142" s="87" t="s">
        <v>130</v>
      </c>
      <c r="B142" s="88">
        <v>48.360000999999997</v>
      </c>
      <c r="C142" s="88">
        <v>50.650002000000001</v>
      </c>
      <c r="D142" s="88">
        <v>47.790000999999997</v>
      </c>
      <c r="E142" s="88">
        <v>49.240001999999997</v>
      </c>
      <c r="F142" s="89">
        <f t="shared" si="59"/>
        <v>20</v>
      </c>
      <c r="G142" s="89">
        <f t="shared" si="56"/>
        <v>-967.20001999999999</v>
      </c>
      <c r="H142" s="89">
        <f t="shared" si="60"/>
        <v>20</v>
      </c>
      <c r="I142" s="89">
        <f t="shared" si="61"/>
        <v>-984.80003999999997</v>
      </c>
      <c r="J142" s="89">
        <f t="shared" si="57"/>
        <v>19</v>
      </c>
      <c r="K142" s="89">
        <f t="shared" si="58"/>
        <v>-962.35003800000004</v>
      </c>
      <c r="L142" s="89">
        <f t="shared" si="62"/>
        <v>20</v>
      </c>
      <c r="M142" s="89">
        <f t="shared" si="63"/>
        <v>-955.8000199999999</v>
      </c>
      <c r="N142" s="89"/>
      <c r="O142" s="89"/>
      <c r="P142" s="89"/>
      <c r="Q142" s="89"/>
      <c r="R142" s="89"/>
      <c r="S142" s="89"/>
    </row>
    <row r="143" spans="1:19" hidden="1" x14ac:dyDescent="0.4">
      <c r="A143" s="87" t="s">
        <v>131</v>
      </c>
      <c r="B143" s="88">
        <v>49.450001</v>
      </c>
      <c r="C143" s="88">
        <v>50.169998</v>
      </c>
      <c r="D143" s="88">
        <v>42.639999000000003</v>
      </c>
      <c r="E143" s="88">
        <v>45.599997999999999</v>
      </c>
      <c r="F143" s="89">
        <f t="shared" si="59"/>
        <v>20</v>
      </c>
      <c r="G143" s="89">
        <f t="shared" si="56"/>
        <v>-989.00001999999995</v>
      </c>
      <c r="H143" s="89">
        <f t="shared" si="60"/>
        <v>21</v>
      </c>
      <c r="I143" s="89">
        <f t="shared" si="61"/>
        <v>-957.59995800000002</v>
      </c>
      <c r="J143" s="89">
        <f t="shared" si="57"/>
        <v>19</v>
      </c>
      <c r="K143" s="89">
        <f t="shared" si="58"/>
        <v>-953.229962</v>
      </c>
      <c r="L143" s="89">
        <f t="shared" si="62"/>
        <v>23</v>
      </c>
      <c r="M143" s="89">
        <f t="shared" si="63"/>
        <v>-980.71997700000009</v>
      </c>
      <c r="N143" s="89"/>
      <c r="O143" s="89"/>
      <c r="P143" s="89">
        <f t="shared" ref="P143" si="64">INT(P$1/MAX(C132:C143))</f>
        <v>236</v>
      </c>
      <c r="Q143" s="89">
        <f t="shared" ref="Q143" si="65">P143*-MAX(C132:C143)</f>
        <v>-11953.400471999999</v>
      </c>
      <c r="R143" s="89">
        <f t="shared" ref="R143" si="66">INT(R$1/MIN(D132:D143))</f>
        <v>349</v>
      </c>
      <c r="S143" s="89">
        <f t="shared" ref="S143" si="67">R143*-MIN(D132:D143)</f>
        <v>-11970.699650999999</v>
      </c>
    </row>
    <row r="144" spans="1:19" hidden="1" x14ac:dyDescent="0.4">
      <c r="A144" s="87" t="s">
        <v>132</v>
      </c>
      <c r="B144" s="88">
        <v>45.43</v>
      </c>
      <c r="C144" s="88">
        <v>47.68</v>
      </c>
      <c r="D144" s="88">
        <v>42.639999000000003</v>
      </c>
      <c r="E144" s="88">
        <v>42.709999000000003</v>
      </c>
      <c r="F144" s="89">
        <f t="shared" si="59"/>
        <v>22</v>
      </c>
      <c r="G144" s="89">
        <f t="shared" si="56"/>
        <v>-999.46</v>
      </c>
      <c r="H144" s="89">
        <f t="shared" si="60"/>
        <v>23</v>
      </c>
      <c r="I144" s="89">
        <f t="shared" si="61"/>
        <v>-982.3299770000001</v>
      </c>
      <c r="J144" s="89">
        <f t="shared" si="57"/>
        <v>20</v>
      </c>
      <c r="K144" s="89">
        <f t="shared" si="58"/>
        <v>-953.6</v>
      </c>
      <c r="L144" s="89">
        <f t="shared" si="62"/>
        <v>23</v>
      </c>
      <c r="M144" s="89">
        <f t="shared" si="63"/>
        <v>-980.71997700000009</v>
      </c>
      <c r="N144" s="89"/>
      <c r="O144" s="89"/>
      <c r="P144" s="89"/>
      <c r="Q144" s="89"/>
      <c r="R144" s="89"/>
      <c r="S144" s="89"/>
    </row>
    <row r="145" spans="1:19" hidden="1" x14ac:dyDescent="0.4">
      <c r="A145" s="87" t="s">
        <v>133</v>
      </c>
      <c r="B145" s="88">
        <v>42.84</v>
      </c>
      <c r="C145" s="88">
        <v>46.720001000000003</v>
      </c>
      <c r="D145" s="88">
        <v>41.77</v>
      </c>
      <c r="E145" s="88">
        <v>45.810001</v>
      </c>
      <c r="F145" s="89">
        <f t="shared" si="59"/>
        <v>23</v>
      </c>
      <c r="G145" s="89">
        <f t="shared" si="56"/>
        <v>-985.32</v>
      </c>
      <c r="H145" s="89">
        <f t="shared" si="60"/>
        <v>21</v>
      </c>
      <c r="I145" s="89">
        <f t="shared" si="61"/>
        <v>-962.01002100000005</v>
      </c>
      <c r="J145" s="89">
        <f t="shared" si="57"/>
        <v>21</v>
      </c>
      <c r="K145" s="89">
        <f t="shared" si="58"/>
        <v>-981.12002100000007</v>
      </c>
      <c r="L145" s="89">
        <f t="shared" si="62"/>
        <v>23</v>
      </c>
      <c r="M145" s="89">
        <f t="shared" si="63"/>
        <v>-960.71</v>
      </c>
      <c r="N145" s="89"/>
      <c r="O145" s="89"/>
      <c r="P145" s="89"/>
      <c r="Q145" s="89"/>
      <c r="R145" s="89"/>
      <c r="S145" s="89"/>
    </row>
    <row r="146" spans="1:19" hidden="1" x14ac:dyDescent="0.4">
      <c r="A146" s="87" t="s">
        <v>134</v>
      </c>
      <c r="B146" s="88">
        <v>46.389999000000003</v>
      </c>
      <c r="C146" s="88">
        <v>47.189999</v>
      </c>
      <c r="D146" s="88">
        <v>42.970001000000003</v>
      </c>
      <c r="E146" s="88">
        <v>43.459999000000003</v>
      </c>
      <c r="F146" s="89">
        <f t="shared" si="59"/>
        <v>21</v>
      </c>
      <c r="G146" s="89">
        <f t="shared" si="56"/>
        <v>-974.18997900000011</v>
      </c>
      <c r="H146" s="89">
        <f t="shared" si="60"/>
        <v>23</v>
      </c>
      <c r="I146" s="89">
        <f t="shared" si="61"/>
        <v>-999.5799770000001</v>
      </c>
      <c r="J146" s="89">
        <f t="shared" si="57"/>
        <v>21</v>
      </c>
      <c r="K146" s="89">
        <f t="shared" si="58"/>
        <v>-990.98997899999995</v>
      </c>
      <c r="L146" s="89">
        <f t="shared" si="62"/>
        <v>23</v>
      </c>
      <c r="M146" s="89">
        <f t="shared" si="63"/>
        <v>-988.31002300000011</v>
      </c>
      <c r="N146" s="89"/>
      <c r="O146" s="89"/>
      <c r="P146" s="89"/>
      <c r="Q146" s="89"/>
      <c r="R146" s="89"/>
      <c r="S146" s="89"/>
    </row>
    <row r="147" spans="1:19" hidden="1" x14ac:dyDescent="0.4">
      <c r="A147" s="87" t="s">
        <v>135</v>
      </c>
      <c r="B147" s="88">
        <v>44.099997999999999</v>
      </c>
      <c r="C147" s="88">
        <v>49.84</v>
      </c>
      <c r="D147" s="88">
        <v>44.07</v>
      </c>
      <c r="E147" s="88">
        <v>49.07</v>
      </c>
      <c r="F147" s="89">
        <f t="shared" si="59"/>
        <v>22</v>
      </c>
      <c r="G147" s="89">
        <f t="shared" si="56"/>
        <v>-970.19995599999993</v>
      </c>
      <c r="H147" s="89">
        <f t="shared" si="60"/>
        <v>20</v>
      </c>
      <c r="I147" s="89">
        <f t="shared" si="61"/>
        <v>-981.4</v>
      </c>
      <c r="J147" s="89">
        <f t="shared" si="57"/>
        <v>20</v>
      </c>
      <c r="K147" s="89">
        <f t="shared" si="58"/>
        <v>-996.80000000000007</v>
      </c>
      <c r="L147" s="89">
        <f t="shared" si="62"/>
        <v>22</v>
      </c>
      <c r="M147" s="89">
        <f t="shared" si="63"/>
        <v>-969.54</v>
      </c>
      <c r="N147" s="89"/>
      <c r="O147" s="89"/>
      <c r="P147" s="89"/>
      <c r="Q147" s="89"/>
      <c r="R147" s="89"/>
      <c r="S147" s="89"/>
    </row>
    <row r="148" spans="1:19" hidden="1" x14ac:dyDescent="0.4">
      <c r="A148" s="87" t="s">
        <v>136</v>
      </c>
      <c r="B148" s="88">
        <v>49.48</v>
      </c>
      <c r="C148" s="88">
        <v>52.490001999999997</v>
      </c>
      <c r="D148" s="88">
        <v>48.200001</v>
      </c>
      <c r="E148" s="88">
        <v>52.18</v>
      </c>
      <c r="F148" s="89">
        <f t="shared" si="59"/>
        <v>20</v>
      </c>
      <c r="G148" s="89">
        <f t="shared" si="56"/>
        <v>-989.59999999999991</v>
      </c>
      <c r="H148" s="89">
        <f t="shared" si="60"/>
        <v>19</v>
      </c>
      <c r="I148" s="89">
        <f t="shared" si="61"/>
        <v>-991.42</v>
      </c>
      <c r="J148" s="89">
        <f t="shared" si="57"/>
        <v>19</v>
      </c>
      <c r="K148" s="89">
        <f t="shared" si="58"/>
        <v>-997.31003799999996</v>
      </c>
      <c r="L148" s="89">
        <f t="shared" si="62"/>
        <v>20</v>
      </c>
      <c r="M148" s="89">
        <f t="shared" si="63"/>
        <v>-964.00001999999995</v>
      </c>
      <c r="N148" s="89"/>
      <c r="O148" s="89"/>
      <c r="P148" s="89"/>
      <c r="Q148" s="89"/>
      <c r="R148" s="89"/>
      <c r="S148" s="89"/>
    </row>
    <row r="149" spans="1:19" hidden="1" x14ac:dyDescent="0.4">
      <c r="A149" s="87" t="s">
        <v>137</v>
      </c>
      <c r="B149" s="88">
        <v>52.369999</v>
      </c>
      <c r="C149" s="88">
        <v>54.040000999999997</v>
      </c>
      <c r="D149" s="88">
        <v>50.849997999999999</v>
      </c>
      <c r="E149" s="88">
        <v>52.09</v>
      </c>
      <c r="F149" s="89">
        <f t="shared" si="59"/>
        <v>19</v>
      </c>
      <c r="G149" s="89">
        <f t="shared" si="56"/>
        <v>-995.02998100000002</v>
      </c>
      <c r="H149" s="89">
        <f t="shared" si="60"/>
        <v>19</v>
      </c>
      <c r="I149" s="89">
        <f t="shared" si="61"/>
        <v>-989.71</v>
      </c>
      <c r="J149" s="89">
        <f t="shared" si="57"/>
        <v>18</v>
      </c>
      <c r="K149" s="89">
        <f t="shared" si="58"/>
        <v>-972.72001799999998</v>
      </c>
      <c r="L149" s="89">
        <f t="shared" si="62"/>
        <v>19</v>
      </c>
      <c r="M149" s="89">
        <f t="shared" si="63"/>
        <v>-966.14996199999996</v>
      </c>
      <c r="N149" s="89"/>
      <c r="O149" s="89"/>
      <c r="P149" s="89"/>
      <c r="Q149" s="89"/>
      <c r="R149" s="89"/>
      <c r="S149" s="89"/>
    </row>
    <row r="150" spans="1:19" hidden="1" x14ac:dyDescent="0.4">
      <c r="A150" s="87" t="s">
        <v>138</v>
      </c>
      <c r="B150" s="88">
        <v>52.860000999999997</v>
      </c>
      <c r="C150" s="88">
        <v>54.959999000000003</v>
      </c>
      <c r="D150" s="88">
        <v>52.84</v>
      </c>
      <c r="E150" s="88">
        <v>54.459999000000003</v>
      </c>
      <c r="F150" s="89">
        <f t="shared" si="59"/>
        <v>18</v>
      </c>
      <c r="G150" s="89">
        <f t="shared" si="56"/>
        <v>-951.48001799999997</v>
      </c>
      <c r="H150" s="89">
        <f t="shared" si="60"/>
        <v>18</v>
      </c>
      <c r="I150" s="89">
        <f t="shared" si="61"/>
        <v>-980.27998200000002</v>
      </c>
      <c r="J150" s="89">
        <f t="shared" si="57"/>
        <v>18</v>
      </c>
      <c r="K150" s="89">
        <f t="shared" si="58"/>
        <v>-989.27998200000002</v>
      </c>
      <c r="L150" s="89">
        <f t="shared" si="62"/>
        <v>18</v>
      </c>
      <c r="M150" s="89">
        <f t="shared" si="63"/>
        <v>-951.12000000000012</v>
      </c>
      <c r="N150" s="89"/>
      <c r="O150" s="89"/>
      <c r="P150" s="89"/>
      <c r="Q150" s="89"/>
      <c r="R150" s="89"/>
      <c r="S150" s="89"/>
    </row>
    <row r="151" spans="1:19" hidden="1" x14ac:dyDescent="0.4">
      <c r="A151" s="87" t="s">
        <v>139</v>
      </c>
      <c r="B151" s="88">
        <v>54.970001000000003</v>
      </c>
      <c r="C151" s="88">
        <v>57.349997999999999</v>
      </c>
      <c r="D151" s="88">
        <v>54.919998</v>
      </c>
      <c r="E151" s="88">
        <v>56</v>
      </c>
      <c r="F151" s="89">
        <f t="shared" si="59"/>
        <v>18</v>
      </c>
      <c r="G151" s="89">
        <f t="shared" si="56"/>
        <v>-989.4600180000001</v>
      </c>
      <c r="H151" s="89">
        <f t="shared" si="60"/>
        <v>17</v>
      </c>
      <c r="I151" s="89">
        <f t="shared" si="61"/>
        <v>-952</v>
      </c>
      <c r="J151" s="89">
        <f t="shared" si="57"/>
        <v>17</v>
      </c>
      <c r="K151" s="89">
        <f t="shared" si="58"/>
        <v>-974.94996600000002</v>
      </c>
      <c r="L151" s="89">
        <f t="shared" si="62"/>
        <v>18</v>
      </c>
      <c r="M151" s="89">
        <f t="shared" si="63"/>
        <v>-988.55996400000004</v>
      </c>
      <c r="N151" s="89"/>
      <c r="O151" s="89"/>
      <c r="P151" s="89"/>
      <c r="Q151" s="89"/>
      <c r="R151" s="89"/>
      <c r="S151" s="89"/>
    </row>
    <row r="152" spans="1:19" hidden="1" x14ac:dyDescent="0.4">
      <c r="A152" s="87" t="s">
        <v>140</v>
      </c>
      <c r="B152" s="88">
        <v>56.419998</v>
      </c>
      <c r="C152" s="88">
        <v>59.040000999999997</v>
      </c>
      <c r="D152" s="88">
        <v>56.130001</v>
      </c>
      <c r="E152" s="88">
        <v>57.77</v>
      </c>
      <c r="F152" s="89">
        <f t="shared" si="59"/>
        <v>17</v>
      </c>
      <c r="G152" s="89">
        <f t="shared" si="56"/>
        <v>-959.13996599999996</v>
      </c>
      <c r="H152" s="89">
        <f t="shared" si="60"/>
        <v>17</v>
      </c>
      <c r="I152" s="89">
        <f t="shared" si="61"/>
        <v>-982.09</v>
      </c>
      <c r="J152" s="89">
        <f t="shared" si="57"/>
        <v>16</v>
      </c>
      <c r="K152" s="89">
        <f t="shared" si="58"/>
        <v>-944.64001599999995</v>
      </c>
      <c r="L152" s="89">
        <f t="shared" si="62"/>
        <v>17</v>
      </c>
      <c r="M152" s="89">
        <f t="shared" si="63"/>
        <v>-954.21001699999999</v>
      </c>
      <c r="N152" s="89"/>
      <c r="O152" s="89"/>
      <c r="P152" s="89"/>
      <c r="Q152" s="89"/>
      <c r="R152" s="89"/>
      <c r="S152" s="89"/>
    </row>
    <row r="153" spans="1:19" hidden="1" x14ac:dyDescent="0.4">
      <c r="A153" s="87" t="s">
        <v>141</v>
      </c>
      <c r="B153" s="88">
        <v>58.02</v>
      </c>
      <c r="C153" s="88">
        <v>58.369999</v>
      </c>
      <c r="D153" s="88">
        <v>53.77</v>
      </c>
      <c r="E153" s="88">
        <v>57.43</v>
      </c>
      <c r="F153" s="89">
        <f t="shared" si="59"/>
        <v>17</v>
      </c>
      <c r="G153" s="89">
        <f t="shared" si="56"/>
        <v>-986.34</v>
      </c>
      <c r="H153" s="89">
        <f t="shared" si="60"/>
        <v>17</v>
      </c>
      <c r="I153" s="89">
        <f t="shared" si="61"/>
        <v>-976.31</v>
      </c>
      <c r="J153" s="89">
        <f t="shared" si="57"/>
        <v>17</v>
      </c>
      <c r="K153" s="89">
        <f t="shared" si="58"/>
        <v>-992.28998300000001</v>
      </c>
      <c r="L153" s="89">
        <f t="shared" si="62"/>
        <v>18</v>
      </c>
      <c r="M153" s="89">
        <f t="shared" si="63"/>
        <v>-967.86</v>
      </c>
      <c r="N153" s="89"/>
      <c r="O153" s="89"/>
      <c r="P153" s="89"/>
      <c r="Q153" s="89"/>
      <c r="R153" s="89"/>
      <c r="S153" s="89"/>
    </row>
    <row r="154" spans="1:19" hidden="1" x14ac:dyDescent="0.4">
      <c r="A154" s="87" t="s">
        <v>142</v>
      </c>
      <c r="B154" s="88">
        <v>57.720001000000003</v>
      </c>
      <c r="C154" s="88">
        <v>59.290000999999997</v>
      </c>
      <c r="D154" s="88">
        <v>55.32</v>
      </c>
      <c r="E154" s="88">
        <v>59.080002</v>
      </c>
      <c r="F154" s="89">
        <f t="shared" si="59"/>
        <v>17</v>
      </c>
      <c r="G154" s="89">
        <f t="shared" si="56"/>
        <v>-981.24001700000008</v>
      </c>
      <c r="H154" s="89">
        <f t="shared" si="60"/>
        <v>16</v>
      </c>
      <c r="I154" s="89">
        <f t="shared" si="61"/>
        <v>-945.28003200000001</v>
      </c>
      <c r="J154" s="89">
        <f t="shared" si="57"/>
        <v>16</v>
      </c>
      <c r="K154" s="89">
        <f t="shared" si="58"/>
        <v>-948.64001599999995</v>
      </c>
      <c r="L154" s="89">
        <f t="shared" si="62"/>
        <v>18</v>
      </c>
      <c r="M154" s="89">
        <f t="shared" si="63"/>
        <v>-995.76</v>
      </c>
      <c r="N154" s="89"/>
      <c r="O154" s="89"/>
      <c r="P154" s="89"/>
      <c r="Q154" s="89"/>
      <c r="R154" s="89"/>
      <c r="S154" s="89"/>
    </row>
    <row r="155" spans="1:19" hidden="1" x14ac:dyDescent="0.4">
      <c r="A155" s="87" t="s">
        <v>143</v>
      </c>
      <c r="B155" s="88">
        <v>59.169998</v>
      </c>
      <c r="C155" s="88">
        <v>59.34</v>
      </c>
      <c r="D155" s="88">
        <v>56.470001000000003</v>
      </c>
      <c r="E155" s="88">
        <v>58.360000999999997</v>
      </c>
      <c r="F155" s="89">
        <f t="shared" si="59"/>
        <v>16</v>
      </c>
      <c r="G155" s="89">
        <f t="shared" si="56"/>
        <v>-946.71996799999999</v>
      </c>
      <c r="H155" s="89">
        <f t="shared" si="60"/>
        <v>17</v>
      </c>
      <c r="I155" s="89">
        <f t="shared" si="61"/>
        <v>-992.12001699999996</v>
      </c>
      <c r="J155" s="89">
        <f t="shared" si="57"/>
        <v>16</v>
      </c>
      <c r="K155" s="89">
        <f t="shared" si="58"/>
        <v>-949.44</v>
      </c>
      <c r="L155" s="89">
        <f t="shared" si="62"/>
        <v>17</v>
      </c>
      <c r="M155" s="89">
        <f t="shared" si="63"/>
        <v>-959.99001700000008</v>
      </c>
      <c r="N155" s="89"/>
      <c r="O155" s="89"/>
      <c r="P155" s="89">
        <f t="shared" ref="P155" si="68">INT(P$1/MAX(C144:C155))</f>
        <v>202</v>
      </c>
      <c r="Q155" s="89">
        <f t="shared" ref="Q155" si="69">P155*-MAX(C144:C155)</f>
        <v>-11986.68</v>
      </c>
      <c r="R155" s="89">
        <f t="shared" ref="R155" si="70">INT(R$1/MIN(D144:D155))</f>
        <v>287</v>
      </c>
      <c r="S155" s="89">
        <f t="shared" ref="S155" si="71">R155*-MIN(D144:D155)</f>
        <v>-11987.990000000002</v>
      </c>
    </row>
    <row r="156" spans="1:19" hidden="1" x14ac:dyDescent="0.4">
      <c r="A156" s="87" t="s">
        <v>144</v>
      </c>
      <c r="B156" s="88">
        <v>58.220001000000003</v>
      </c>
      <c r="C156" s="88">
        <v>58.360000999999997</v>
      </c>
      <c r="D156" s="88">
        <v>53.619999</v>
      </c>
      <c r="E156" s="88">
        <v>57.049999</v>
      </c>
      <c r="F156" s="89">
        <f t="shared" si="59"/>
        <v>17</v>
      </c>
      <c r="G156" s="89">
        <f t="shared" si="56"/>
        <v>-989.74001700000008</v>
      </c>
      <c r="H156" s="89">
        <f t="shared" si="60"/>
        <v>17</v>
      </c>
      <c r="I156" s="89">
        <f t="shared" si="61"/>
        <v>-969.84998299999995</v>
      </c>
      <c r="J156" s="89">
        <f t="shared" si="57"/>
        <v>17</v>
      </c>
      <c r="K156" s="89">
        <f t="shared" si="58"/>
        <v>-992.12001699999996</v>
      </c>
      <c r="L156" s="89">
        <f t="shared" si="62"/>
        <v>18</v>
      </c>
      <c r="M156" s="89">
        <f t="shared" si="63"/>
        <v>-965.15998200000001</v>
      </c>
      <c r="N156" s="89"/>
      <c r="O156" s="89"/>
      <c r="P156" s="89"/>
      <c r="Q156" s="89"/>
      <c r="R156" s="89"/>
      <c r="S156" s="89"/>
    </row>
    <row r="157" spans="1:19" hidden="1" x14ac:dyDescent="0.4">
      <c r="A157" s="87" t="s">
        <v>145</v>
      </c>
      <c r="B157" s="88">
        <v>57.080002</v>
      </c>
      <c r="C157" s="88">
        <v>59.830002</v>
      </c>
      <c r="D157" s="88">
        <v>56.869999</v>
      </c>
      <c r="E157" s="88">
        <v>58</v>
      </c>
      <c r="F157" s="89">
        <f t="shared" si="59"/>
        <v>17</v>
      </c>
      <c r="G157" s="89">
        <f t="shared" si="56"/>
        <v>-970.36003400000004</v>
      </c>
      <c r="H157" s="89">
        <f t="shared" si="60"/>
        <v>17</v>
      </c>
      <c r="I157" s="89">
        <f t="shared" si="61"/>
        <v>-986</v>
      </c>
      <c r="J157" s="89">
        <f t="shared" si="57"/>
        <v>16</v>
      </c>
      <c r="K157" s="89">
        <f t="shared" si="58"/>
        <v>-957.28003200000001</v>
      </c>
      <c r="L157" s="89">
        <f t="shared" si="62"/>
        <v>17</v>
      </c>
      <c r="M157" s="89">
        <f t="shared" si="63"/>
        <v>-966.78998300000001</v>
      </c>
      <c r="N157" s="89"/>
      <c r="O157" s="89"/>
      <c r="P157" s="89"/>
      <c r="Q157" s="89"/>
      <c r="R157" s="89"/>
      <c r="S157" s="89"/>
    </row>
    <row r="158" spans="1:19" hidden="1" x14ac:dyDescent="0.4">
      <c r="A158" s="87" t="s">
        <v>146</v>
      </c>
      <c r="B158" s="88">
        <v>58.700001</v>
      </c>
      <c r="C158" s="88">
        <v>58.82</v>
      </c>
      <c r="D158" s="88">
        <v>49.93</v>
      </c>
      <c r="E158" s="88">
        <v>55.060001</v>
      </c>
      <c r="F158" s="89">
        <f t="shared" si="59"/>
        <v>17</v>
      </c>
      <c r="G158" s="89">
        <f t="shared" si="56"/>
        <v>-997.90001700000005</v>
      </c>
      <c r="H158" s="89">
        <f t="shared" si="60"/>
        <v>18</v>
      </c>
      <c r="I158" s="89">
        <f t="shared" si="61"/>
        <v>-991.080018</v>
      </c>
      <c r="J158" s="89">
        <f t="shared" si="57"/>
        <v>17</v>
      </c>
      <c r="K158" s="89">
        <f t="shared" si="58"/>
        <v>-999.94</v>
      </c>
      <c r="L158" s="89">
        <f t="shared" si="62"/>
        <v>20</v>
      </c>
      <c r="M158" s="89">
        <f t="shared" si="63"/>
        <v>-998.6</v>
      </c>
      <c r="N158" s="89"/>
      <c r="O158" s="89"/>
      <c r="P158" s="89"/>
      <c r="Q158" s="89"/>
      <c r="R158" s="89"/>
      <c r="S158" s="89"/>
    </row>
    <row r="159" spans="1:19" hidden="1" x14ac:dyDescent="0.4">
      <c r="A159" s="87" t="s">
        <v>147</v>
      </c>
      <c r="B159" s="88">
        <v>55.200001</v>
      </c>
      <c r="C159" s="88">
        <v>57.349997999999999</v>
      </c>
      <c r="D159" s="88">
        <v>51.91</v>
      </c>
      <c r="E159" s="88">
        <v>52.490001999999997</v>
      </c>
      <c r="F159" s="89">
        <f t="shared" si="59"/>
        <v>18</v>
      </c>
      <c r="G159" s="89">
        <f t="shared" si="56"/>
        <v>-993.60001799999998</v>
      </c>
      <c r="H159" s="89">
        <f t="shared" si="60"/>
        <v>19</v>
      </c>
      <c r="I159" s="89">
        <f t="shared" si="61"/>
        <v>-997.31003799999996</v>
      </c>
      <c r="J159" s="89">
        <f t="shared" si="57"/>
        <v>17</v>
      </c>
      <c r="K159" s="89">
        <f t="shared" si="58"/>
        <v>-974.94996600000002</v>
      </c>
      <c r="L159" s="89">
        <f t="shared" si="62"/>
        <v>19</v>
      </c>
      <c r="M159" s="89">
        <f t="shared" si="63"/>
        <v>-986.29</v>
      </c>
      <c r="N159" s="89"/>
      <c r="O159" s="89"/>
      <c r="P159" s="89"/>
      <c r="Q159" s="89"/>
      <c r="R159" s="89"/>
      <c r="S159" s="89"/>
    </row>
    <row r="160" spans="1:19" hidden="1" x14ac:dyDescent="0.4">
      <c r="A160" s="87" t="s">
        <v>148</v>
      </c>
      <c r="B160" s="88">
        <v>52.02</v>
      </c>
      <c r="C160" s="88">
        <v>59.200001</v>
      </c>
      <c r="D160" s="88">
        <v>50.099997999999999</v>
      </c>
      <c r="E160" s="88">
        <v>57.950001</v>
      </c>
      <c r="F160" s="89">
        <f t="shared" si="59"/>
        <v>19</v>
      </c>
      <c r="G160" s="89">
        <f t="shared" si="56"/>
        <v>-988.38000000000011</v>
      </c>
      <c r="H160" s="89">
        <f t="shared" si="60"/>
        <v>17</v>
      </c>
      <c r="I160" s="89">
        <f t="shared" si="61"/>
        <v>-985.15001700000005</v>
      </c>
      <c r="J160" s="89">
        <f t="shared" si="57"/>
        <v>16</v>
      </c>
      <c r="K160" s="89">
        <f t="shared" si="58"/>
        <v>-947.20001600000001</v>
      </c>
      <c r="L160" s="89">
        <f t="shared" si="62"/>
        <v>19</v>
      </c>
      <c r="M160" s="89">
        <f t="shared" si="63"/>
        <v>-951.89996199999996</v>
      </c>
      <c r="N160" s="89"/>
      <c r="O160" s="89"/>
      <c r="P160" s="89"/>
      <c r="Q160" s="89"/>
      <c r="R160" s="89"/>
      <c r="S160" s="89"/>
    </row>
    <row r="161" spans="1:19" hidden="1" x14ac:dyDescent="0.4">
      <c r="A161" s="87" t="s">
        <v>149</v>
      </c>
      <c r="B161" s="88">
        <v>56.52</v>
      </c>
      <c r="C161" s="88">
        <v>58.98</v>
      </c>
      <c r="D161" s="88">
        <v>52.869999</v>
      </c>
      <c r="E161" s="88">
        <v>56.389999000000003</v>
      </c>
      <c r="F161" s="89">
        <f t="shared" si="59"/>
        <v>17</v>
      </c>
      <c r="G161" s="89">
        <f t="shared" si="56"/>
        <v>-960.84</v>
      </c>
      <c r="H161" s="89">
        <f t="shared" si="60"/>
        <v>17</v>
      </c>
      <c r="I161" s="89">
        <f t="shared" si="61"/>
        <v>-958.62998300000004</v>
      </c>
      <c r="J161" s="89">
        <f t="shared" si="57"/>
        <v>16</v>
      </c>
      <c r="K161" s="89">
        <f t="shared" si="58"/>
        <v>-943.68</v>
      </c>
      <c r="L161" s="89">
        <f t="shared" si="62"/>
        <v>18</v>
      </c>
      <c r="M161" s="89">
        <f t="shared" si="63"/>
        <v>-951.65998200000001</v>
      </c>
      <c r="N161" s="89"/>
      <c r="O161" s="89"/>
      <c r="P161" s="89"/>
      <c r="Q161" s="89"/>
      <c r="R161" s="89"/>
      <c r="S161" s="89"/>
    </row>
    <row r="162" spans="1:19" hidden="1" x14ac:dyDescent="0.4">
      <c r="A162" s="87" t="s">
        <v>150</v>
      </c>
      <c r="B162" s="88">
        <v>56.380001</v>
      </c>
      <c r="C162" s="88">
        <v>57.619999</v>
      </c>
      <c r="D162" s="88">
        <v>54.169998</v>
      </c>
      <c r="E162" s="88">
        <v>55.830002</v>
      </c>
      <c r="F162" s="89">
        <f t="shared" si="59"/>
        <v>17</v>
      </c>
      <c r="G162" s="89">
        <f t="shared" si="56"/>
        <v>-958.46001699999999</v>
      </c>
      <c r="H162" s="89">
        <f t="shared" si="60"/>
        <v>17</v>
      </c>
      <c r="I162" s="89">
        <f t="shared" si="61"/>
        <v>-949.11003400000004</v>
      </c>
      <c r="J162" s="89">
        <f t="shared" si="57"/>
        <v>17</v>
      </c>
      <c r="K162" s="89">
        <f t="shared" si="58"/>
        <v>-979.53998300000001</v>
      </c>
      <c r="L162" s="89">
        <f t="shared" si="62"/>
        <v>18</v>
      </c>
      <c r="M162" s="89">
        <f t="shared" si="63"/>
        <v>-975.05996400000004</v>
      </c>
      <c r="N162" s="89"/>
      <c r="O162" s="89"/>
      <c r="P162" s="89"/>
      <c r="Q162" s="89"/>
      <c r="R162" s="89"/>
      <c r="S162" s="89"/>
    </row>
    <row r="163" spans="1:19" hidden="1" x14ac:dyDescent="0.4">
      <c r="A163" s="87" t="s">
        <v>151</v>
      </c>
      <c r="B163" s="88">
        <v>56.91</v>
      </c>
      <c r="C163" s="88">
        <v>60.860000999999997</v>
      </c>
      <c r="D163" s="88">
        <v>56.560001</v>
      </c>
      <c r="E163" s="88">
        <v>60.529998999999997</v>
      </c>
      <c r="F163" s="89">
        <f t="shared" si="59"/>
        <v>17</v>
      </c>
      <c r="G163" s="89">
        <f t="shared" si="56"/>
        <v>-967.46999999999991</v>
      </c>
      <c r="H163" s="89">
        <f t="shared" si="60"/>
        <v>16</v>
      </c>
      <c r="I163" s="89">
        <f t="shared" si="61"/>
        <v>-968.47998399999994</v>
      </c>
      <c r="J163" s="89">
        <f t="shared" si="57"/>
        <v>16</v>
      </c>
      <c r="K163" s="89">
        <f t="shared" si="58"/>
        <v>-973.76001599999995</v>
      </c>
      <c r="L163" s="89">
        <f t="shared" si="62"/>
        <v>17</v>
      </c>
      <c r="M163" s="89">
        <f t="shared" si="63"/>
        <v>-961.52001700000005</v>
      </c>
      <c r="N163" s="89"/>
      <c r="O163" s="89"/>
      <c r="P163" s="89"/>
      <c r="Q163" s="89"/>
      <c r="R163" s="89"/>
      <c r="S163" s="89"/>
    </row>
    <row r="164" spans="1:19" hidden="1" x14ac:dyDescent="0.4">
      <c r="A164" s="87" t="s">
        <v>152</v>
      </c>
      <c r="B164" s="88">
        <v>60.880001</v>
      </c>
      <c r="C164" s="88">
        <v>64.959998999999996</v>
      </c>
      <c r="D164" s="88">
        <v>60.66</v>
      </c>
      <c r="E164" s="88">
        <v>64.410004000000001</v>
      </c>
      <c r="F164" s="89">
        <f t="shared" si="59"/>
        <v>16</v>
      </c>
      <c r="G164" s="89">
        <f t="shared" si="56"/>
        <v>-974.080016</v>
      </c>
      <c r="H164" s="89">
        <f t="shared" si="60"/>
        <v>15</v>
      </c>
      <c r="I164" s="89">
        <f t="shared" si="61"/>
        <v>-966.15006000000005</v>
      </c>
      <c r="J164" s="89">
        <f t="shared" si="57"/>
        <v>15</v>
      </c>
      <c r="K164" s="89">
        <f t="shared" si="58"/>
        <v>-974.3999849999999</v>
      </c>
      <c r="L164" s="89">
        <f t="shared" si="62"/>
        <v>16</v>
      </c>
      <c r="M164" s="89">
        <f t="shared" si="63"/>
        <v>-970.56</v>
      </c>
      <c r="N164" s="89"/>
      <c r="O164" s="89"/>
      <c r="P164" s="89"/>
      <c r="Q164" s="89"/>
      <c r="R164" s="89"/>
      <c r="S164" s="89"/>
    </row>
    <row r="165" spans="1:19" hidden="1" x14ac:dyDescent="0.4">
      <c r="A165" s="87" t="s">
        <v>153</v>
      </c>
      <c r="B165" s="88">
        <v>64.650002000000001</v>
      </c>
      <c r="C165" s="88">
        <v>68.510002</v>
      </c>
      <c r="D165" s="88">
        <v>63.23</v>
      </c>
      <c r="E165" s="88">
        <v>67.550003000000004</v>
      </c>
      <c r="F165" s="89">
        <f t="shared" si="59"/>
        <v>15</v>
      </c>
      <c r="G165" s="89">
        <f t="shared" si="56"/>
        <v>-969.75003000000004</v>
      </c>
      <c r="H165" s="89">
        <f t="shared" si="60"/>
        <v>14</v>
      </c>
      <c r="I165" s="89">
        <f t="shared" si="61"/>
        <v>-945.70004200000005</v>
      </c>
      <c r="J165" s="89">
        <f t="shared" si="57"/>
        <v>14</v>
      </c>
      <c r="K165" s="89">
        <f t="shared" si="58"/>
        <v>-959.14002800000003</v>
      </c>
      <c r="L165" s="89">
        <f t="shared" si="62"/>
        <v>15</v>
      </c>
      <c r="M165" s="89">
        <f t="shared" si="63"/>
        <v>-948.44999999999993</v>
      </c>
      <c r="N165" s="89"/>
      <c r="O165" s="89"/>
      <c r="P165" s="89"/>
      <c r="Q165" s="89"/>
      <c r="R165" s="89"/>
      <c r="S165" s="89"/>
    </row>
    <row r="166" spans="1:19" hidden="1" x14ac:dyDescent="0.4">
      <c r="A166" s="87" t="s">
        <v>154</v>
      </c>
      <c r="B166" s="88">
        <v>67.480002999999996</v>
      </c>
      <c r="C166" s="88">
        <v>68.550003000000004</v>
      </c>
      <c r="D166" s="88">
        <v>64.449996999999996</v>
      </c>
      <c r="E166" s="88">
        <v>66.760002</v>
      </c>
      <c r="F166" s="89">
        <f t="shared" si="59"/>
        <v>14</v>
      </c>
      <c r="G166" s="89">
        <f t="shared" si="56"/>
        <v>-944.72004199999992</v>
      </c>
      <c r="H166" s="89">
        <f t="shared" si="60"/>
        <v>14</v>
      </c>
      <c r="I166" s="89">
        <f t="shared" si="61"/>
        <v>-934.64002800000003</v>
      </c>
      <c r="J166" s="89">
        <f t="shared" si="57"/>
        <v>14</v>
      </c>
      <c r="K166" s="89">
        <f t="shared" si="58"/>
        <v>-959.70004200000005</v>
      </c>
      <c r="L166" s="89">
        <f t="shared" si="62"/>
        <v>15</v>
      </c>
      <c r="M166" s="89">
        <f t="shared" si="63"/>
        <v>-966.749955</v>
      </c>
      <c r="N166" s="89"/>
      <c r="O166" s="89"/>
      <c r="P166" s="89"/>
      <c r="Q166" s="89"/>
      <c r="R166" s="89"/>
      <c r="S166" s="89"/>
    </row>
    <row r="167" spans="1:19" hidden="1" x14ac:dyDescent="0.4">
      <c r="A167" s="87" t="s">
        <v>155</v>
      </c>
      <c r="B167" s="88">
        <v>66.690002000000007</v>
      </c>
      <c r="C167" s="88">
        <v>67.629997000000003</v>
      </c>
      <c r="D167" s="88">
        <v>60.759998000000003</v>
      </c>
      <c r="E167" s="88">
        <v>62.060001</v>
      </c>
      <c r="F167" s="89">
        <f t="shared" si="59"/>
        <v>14</v>
      </c>
      <c r="G167" s="89">
        <f t="shared" si="56"/>
        <v>-933.66002800000012</v>
      </c>
      <c r="H167" s="89">
        <f t="shared" si="60"/>
        <v>16</v>
      </c>
      <c r="I167" s="89">
        <f t="shared" si="61"/>
        <v>-992.960016</v>
      </c>
      <c r="J167" s="89">
        <f t="shared" si="57"/>
        <v>14</v>
      </c>
      <c r="K167" s="89">
        <f t="shared" si="58"/>
        <v>-946.81995800000004</v>
      </c>
      <c r="L167" s="89">
        <f t="shared" si="62"/>
        <v>16</v>
      </c>
      <c r="M167" s="89">
        <f t="shared" si="63"/>
        <v>-972.15996800000005</v>
      </c>
      <c r="N167" s="89"/>
      <c r="O167" s="89"/>
      <c r="P167" s="89">
        <f t="shared" ref="P167" si="72">INT(P$1/MAX(C156:C167))</f>
        <v>175</v>
      </c>
      <c r="Q167" s="89">
        <f t="shared" ref="Q167" si="73">P167*-MAX(C156:C167)</f>
        <v>-11996.250525000001</v>
      </c>
      <c r="R167" s="89">
        <f t="shared" ref="R167" si="74">INT(R$1/MIN(D156:D167))</f>
        <v>240</v>
      </c>
      <c r="S167" s="89">
        <f t="shared" ref="S167" si="75">R167*-MIN(D156:D167)</f>
        <v>-11983.2</v>
      </c>
    </row>
    <row r="168" spans="1:19" hidden="1" x14ac:dyDescent="0.4">
      <c r="A168" s="87" t="s">
        <v>156</v>
      </c>
      <c r="B168" s="88">
        <v>60.939999</v>
      </c>
      <c r="C168" s="88">
        <v>64.569999999999993</v>
      </c>
      <c r="D168" s="88">
        <v>60.040000999999997</v>
      </c>
      <c r="E168" s="88">
        <v>64.160004000000001</v>
      </c>
      <c r="F168" s="89">
        <f t="shared" si="59"/>
        <v>16</v>
      </c>
      <c r="G168" s="89">
        <f t="shared" si="56"/>
        <v>-975.039984</v>
      </c>
      <c r="H168" s="89">
        <f t="shared" si="60"/>
        <v>15</v>
      </c>
      <c r="I168" s="89">
        <f t="shared" si="61"/>
        <v>-962.40006000000005</v>
      </c>
      <c r="J168" s="89">
        <f t="shared" si="57"/>
        <v>15</v>
      </c>
      <c r="K168" s="89">
        <f t="shared" si="58"/>
        <v>-968.55</v>
      </c>
      <c r="L168" s="89">
        <f t="shared" si="62"/>
        <v>16</v>
      </c>
      <c r="M168" s="89">
        <f t="shared" si="63"/>
        <v>-960.64001599999995</v>
      </c>
      <c r="N168" s="89"/>
      <c r="O168" s="89"/>
      <c r="P168" s="89"/>
      <c r="Q168" s="89"/>
      <c r="R168" s="89"/>
      <c r="S168" s="89"/>
    </row>
    <row r="169" spans="1:19" hidden="1" x14ac:dyDescent="0.4">
      <c r="A169" s="87" t="s">
        <v>157</v>
      </c>
      <c r="B169" s="88">
        <v>64.25</v>
      </c>
      <c r="C169" s="88">
        <v>65.309997999999993</v>
      </c>
      <c r="D169" s="88">
        <v>61.860000999999997</v>
      </c>
      <c r="E169" s="88">
        <v>64.800003000000004</v>
      </c>
      <c r="F169" s="89">
        <f t="shared" si="59"/>
        <v>15</v>
      </c>
      <c r="G169" s="89">
        <f t="shared" si="56"/>
        <v>-963.75</v>
      </c>
      <c r="H169" s="89">
        <f t="shared" si="60"/>
        <v>15</v>
      </c>
      <c r="I169" s="89">
        <f t="shared" si="61"/>
        <v>-972.000045</v>
      </c>
      <c r="J169" s="89">
        <f t="shared" si="57"/>
        <v>15</v>
      </c>
      <c r="K169" s="89">
        <f t="shared" si="58"/>
        <v>-979.64996999999994</v>
      </c>
      <c r="L169" s="89">
        <f t="shared" si="62"/>
        <v>16</v>
      </c>
      <c r="M169" s="89">
        <f t="shared" si="63"/>
        <v>-989.76001599999995</v>
      </c>
      <c r="N169" s="89"/>
      <c r="O169" s="89"/>
      <c r="P169" s="89"/>
      <c r="Q169" s="89"/>
      <c r="R169" s="89"/>
      <c r="S169" s="89"/>
    </row>
    <row r="170" spans="1:19" hidden="1" x14ac:dyDescent="0.4">
      <c r="A170" s="87" t="s">
        <v>158</v>
      </c>
      <c r="B170" s="88">
        <v>65.260002</v>
      </c>
      <c r="C170" s="88">
        <v>68.879997000000003</v>
      </c>
      <c r="D170" s="88">
        <v>63.91</v>
      </c>
      <c r="E170" s="88">
        <v>68.160004000000001</v>
      </c>
      <c r="F170" s="89">
        <f t="shared" si="59"/>
        <v>15</v>
      </c>
      <c r="G170" s="89">
        <f t="shared" si="56"/>
        <v>-978.90003000000002</v>
      </c>
      <c r="H170" s="89">
        <f t="shared" si="60"/>
        <v>14</v>
      </c>
      <c r="I170" s="89">
        <f t="shared" si="61"/>
        <v>-954.24005599999998</v>
      </c>
      <c r="J170" s="89">
        <f t="shared" si="57"/>
        <v>14</v>
      </c>
      <c r="K170" s="89">
        <f t="shared" si="58"/>
        <v>-964.31995800000004</v>
      </c>
      <c r="L170" s="89">
        <f t="shared" si="62"/>
        <v>15</v>
      </c>
      <c r="M170" s="89">
        <f t="shared" si="63"/>
        <v>-958.65</v>
      </c>
      <c r="N170" s="89"/>
      <c r="O170" s="89"/>
      <c r="P170" s="89"/>
      <c r="Q170" s="89"/>
      <c r="R170" s="89"/>
      <c r="S170" s="89"/>
    </row>
    <row r="171" spans="1:19" hidden="1" x14ac:dyDescent="0.4">
      <c r="A171" s="87" t="s">
        <v>159</v>
      </c>
      <c r="B171" s="88">
        <v>68.029999000000004</v>
      </c>
      <c r="C171" s="88">
        <v>70.580001999999993</v>
      </c>
      <c r="D171" s="88">
        <v>67.419998000000007</v>
      </c>
      <c r="E171" s="88">
        <v>68.569999999999993</v>
      </c>
      <c r="F171" s="89">
        <f t="shared" si="59"/>
        <v>14</v>
      </c>
      <c r="G171" s="89">
        <f t="shared" si="56"/>
        <v>-952.41998600000011</v>
      </c>
      <c r="H171" s="89">
        <f t="shared" si="60"/>
        <v>14</v>
      </c>
      <c r="I171" s="89">
        <f t="shared" si="61"/>
        <v>-959.9799999999999</v>
      </c>
      <c r="J171" s="89">
        <f t="shared" si="57"/>
        <v>14</v>
      </c>
      <c r="K171" s="89">
        <f t="shared" si="58"/>
        <v>-988.12002799999993</v>
      </c>
      <c r="L171" s="89">
        <f t="shared" si="62"/>
        <v>14</v>
      </c>
      <c r="M171" s="89">
        <f t="shared" si="63"/>
        <v>-943.87997200000007</v>
      </c>
      <c r="N171" s="89"/>
      <c r="O171" s="89"/>
      <c r="P171" s="89"/>
      <c r="Q171" s="89"/>
      <c r="R171" s="89"/>
      <c r="S171" s="89"/>
    </row>
    <row r="172" spans="1:19" hidden="1" x14ac:dyDescent="0.4">
      <c r="A172" s="87" t="s">
        <v>160</v>
      </c>
      <c r="B172" s="88">
        <v>68.900002000000001</v>
      </c>
      <c r="C172" s="88">
        <v>69.800003000000004</v>
      </c>
      <c r="D172" s="88">
        <v>64.650002000000001</v>
      </c>
      <c r="E172" s="88">
        <v>64.949996999999996</v>
      </c>
      <c r="F172" s="89">
        <f t="shared" si="59"/>
        <v>14</v>
      </c>
      <c r="G172" s="89">
        <f t="shared" si="56"/>
        <v>-964.60002800000007</v>
      </c>
      <c r="H172" s="89">
        <f t="shared" si="60"/>
        <v>15</v>
      </c>
      <c r="I172" s="89">
        <f t="shared" si="61"/>
        <v>-974.249955</v>
      </c>
      <c r="J172" s="89">
        <f t="shared" si="57"/>
        <v>14</v>
      </c>
      <c r="K172" s="89">
        <f t="shared" si="58"/>
        <v>-977.20004200000005</v>
      </c>
      <c r="L172" s="89">
        <f t="shared" si="62"/>
        <v>15</v>
      </c>
      <c r="M172" s="89">
        <f t="shared" si="63"/>
        <v>-969.75003000000004</v>
      </c>
      <c r="N172" s="89"/>
      <c r="O172" s="89"/>
      <c r="P172" s="89"/>
      <c r="Q172" s="89"/>
      <c r="R172" s="89"/>
      <c r="S172" s="89"/>
    </row>
    <row r="173" spans="1:19" hidden="1" x14ac:dyDescent="0.4">
      <c r="A173" s="87" t="s">
        <v>161</v>
      </c>
      <c r="B173" s="88">
        <v>65.360000999999997</v>
      </c>
      <c r="C173" s="88">
        <v>66.209998999999996</v>
      </c>
      <c r="D173" s="88">
        <v>61.310001</v>
      </c>
      <c r="E173" s="88">
        <v>65.800003000000004</v>
      </c>
      <c r="F173" s="89">
        <f t="shared" si="59"/>
        <v>15</v>
      </c>
      <c r="G173" s="89">
        <f t="shared" si="56"/>
        <v>-980.40001499999994</v>
      </c>
      <c r="H173" s="89">
        <f t="shared" si="60"/>
        <v>15</v>
      </c>
      <c r="I173" s="89">
        <f t="shared" si="61"/>
        <v>-987.000045</v>
      </c>
      <c r="J173" s="89">
        <f t="shared" si="57"/>
        <v>15</v>
      </c>
      <c r="K173" s="89">
        <f t="shared" si="58"/>
        <v>-993.1499849999999</v>
      </c>
      <c r="L173" s="89">
        <f t="shared" si="62"/>
        <v>16</v>
      </c>
      <c r="M173" s="89">
        <f t="shared" si="63"/>
        <v>-980.960016</v>
      </c>
      <c r="N173" s="89"/>
      <c r="O173" s="89"/>
      <c r="P173" s="89"/>
      <c r="Q173" s="89"/>
      <c r="R173" s="89"/>
      <c r="S173" s="89"/>
    </row>
    <row r="174" spans="1:19" hidden="1" x14ac:dyDescent="0.4">
      <c r="A174" s="87" t="s">
        <v>162</v>
      </c>
      <c r="B174" s="88">
        <v>66.309997999999993</v>
      </c>
      <c r="C174" s="88">
        <v>66.760002</v>
      </c>
      <c r="D174" s="88">
        <v>63.580002</v>
      </c>
      <c r="E174" s="88">
        <v>65.129997000000003</v>
      </c>
      <c r="F174" s="89">
        <f t="shared" si="59"/>
        <v>15</v>
      </c>
      <c r="G174" s="89">
        <f t="shared" si="56"/>
        <v>-994.64996999999994</v>
      </c>
      <c r="H174" s="89">
        <f t="shared" si="60"/>
        <v>15</v>
      </c>
      <c r="I174" s="89">
        <f t="shared" si="61"/>
        <v>-976.94995500000005</v>
      </c>
      <c r="J174" s="89">
        <f t="shared" si="57"/>
        <v>14</v>
      </c>
      <c r="K174" s="89">
        <f t="shared" si="58"/>
        <v>-934.64002800000003</v>
      </c>
      <c r="L174" s="89">
        <f t="shared" si="62"/>
        <v>15</v>
      </c>
      <c r="M174" s="89">
        <f t="shared" si="63"/>
        <v>-953.70002999999997</v>
      </c>
      <c r="N174" s="89"/>
      <c r="O174" s="89"/>
      <c r="P174" s="89"/>
      <c r="Q174" s="89"/>
      <c r="R174" s="89"/>
      <c r="S174" s="89"/>
    </row>
    <row r="175" spans="1:19" hidden="1" x14ac:dyDescent="0.4">
      <c r="A175" s="87" t="s">
        <v>163</v>
      </c>
      <c r="B175" s="88">
        <v>66.730002999999996</v>
      </c>
      <c r="C175" s="88">
        <v>67.790001000000004</v>
      </c>
      <c r="D175" s="88">
        <v>66.169998000000007</v>
      </c>
      <c r="E175" s="88">
        <v>66.870002999999997</v>
      </c>
      <c r="F175" s="89">
        <f t="shared" si="59"/>
        <v>14</v>
      </c>
      <c r="G175" s="89">
        <f t="shared" si="56"/>
        <v>-934.22004199999992</v>
      </c>
      <c r="H175" s="89">
        <f t="shared" si="60"/>
        <v>14</v>
      </c>
      <c r="I175" s="89">
        <f t="shared" si="61"/>
        <v>-936.18004199999996</v>
      </c>
      <c r="J175" s="89">
        <f t="shared" si="57"/>
        <v>14</v>
      </c>
      <c r="K175" s="89">
        <f t="shared" si="58"/>
        <v>-949.06001400000002</v>
      </c>
      <c r="L175" s="89">
        <f t="shared" si="62"/>
        <v>15</v>
      </c>
      <c r="M175" s="89">
        <f t="shared" si="63"/>
        <v>-992.54997000000014</v>
      </c>
      <c r="N175" s="89"/>
      <c r="O175" s="89"/>
      <c r="P175" s="89"/>
      <c r="Q175" s="89"/>
      <c r="R175" s="89"/>
      <c r="S175" s="89"/>
    </row>
    <row r="176" spans="1:19" hidden="1" x14ac:dyDescent="0.4">
      <c r="A176" s="87" t="s">
        <v>164</v>
      </c>
      <c r="B176" s="88">
        <v>67.339995999999999</v>
      </c>
      <c r="C176" s="88">
        <v>68.260002</v>
      </c>
      <c r="D176" s="88">
        <v>65.959998999999996</v>
      </c>
      <c r="E176" s="88">
        <v>67.099997999999999</v>
      </c>
      <c r="F176" s="89">
        <f t="shared" si="59"/>
        <v>14</v>
      </c>
      <c r="G176" s="89">
        <f t="shared" si="56"/>
        <v>-942.75994400000002</v>
      </c>
      <c r="H176" s="89">
        <f t="shared" si="60"/>
        <v>14</v>
      </c>
      <c r="I176" s="89">
        <f t="shared" si="61"/>
        <v>-939.39997199999993</v>
      </c>
      <c r="J176" s="89">
        <f t="shared" si="57"/>
        <v>14</v>
      </c>
      <c r="K176" s="89">
        <f t="shared" si="58"/>
        <v>-955.64002800000003</v>
      </c>
      <c r="L176" s="89">
        <f t="shared" si="62"/>
        <v>15</v>
      </c>
      <c r="M176" s="89">
        <f t="shared" si="63"/>
        <v>-989.3999849999999</v>
      </c>
      <c r="N176" s="89"/>
      <c r="O176" s="89"/>
      <c r="P176" s="89"/>
      <c r="Q176" s="89"/>
      <c r="R176" s="89"/>
      <c r="S176" s="89"/>
    </row>
    <row r="177" spans="1:19" hidden="1" x14ac:dyDescent="0.4">
      <c r="A177" s="87" t="s">
        <v>165</v>
      </c>
      <c r="B177" s="88">
        <v>66.870002999999997</v>
      </c>
      <c r="C177" s="88">
        <v>69.059997999999993</v>
      </c>
      <c r="D177" s="88">
        <v>66.540001000000004</v>
      </c>
      <c r="E177" s="88">
        <v>68.970000999999996</v>
      </c>
      <c r="F177" s="89">
        <f t="shared" si="59"/>
        <v>14</v>
      </c>
      <c r="G177" s="89">
        <f t="shared" si="56"/>
        <v>-936.18004199999996</v>
      </c>
      <c r="H177" s="89">
        <f t="shared" si="60"/>
        <v>14</v>
      </c>
      <c r="I177" s="89">
        <f t="shared" si="61"/>
        <v>-965.58001399999989</v>
      </c>
      <c r="J177" s="89">
        <f t="shared" si="57"/>
        <v>14</v>
      </c>
      <c r="K177" s="89">
        <f t="shared" si="58"/>
        <v>-966.83997199999988</v>
      </c>
      <c r="L177" s="89">
        <f t="shared" si="62"/>
        <v>15</v>
      </c>
      <c r="M177" s="89">
        <f t="shared" si="63"/>
        <v>-998.1000150000001</v>
      </c>
      <c r="N177" s="89"/>
      <c r="O177" s="89"/>
      <c r="P177" s="89"/>
      <c r="Q177" s="89"/>
      <c r="R177" s="89"/>
      <c r="S177" s="89"/>
    </row>
    <row r="178" spans="1:19" hidden="1" x14ac:dyDescent="0.4">
      <c r="A178" s="87" t="s">
        <v>166</v>
      </c>
      <c r="B178" s="88">
        <v>69.019997000000004</v>
      </c>
      <c r="C178" s="88">
        <v>70.730002999999996</v>
      </c>
      <c r="D178" s="88">
        <v>66.879997000000003</v>
      </c>
      <c r="E178" s="88">
        <v>70.720000999999996</v>
      </c>
      <c r="F178" s="89">
        <f t="shared" si="59"/>
        <v>14</v>
      </c>
      <c r="G178" s="89">
        <f t="shared" si="56"/>
        <v>-966.27995800000008</v>
      </c>
      <c r="H178" s="89">
        <f t="shared" si="60"/>
        <v>14</v>
      </c>
      <c r="I178" s="89">
        <f t="shared" si="61"/>
        <v>-990.08001399999989</v>
      </c>
      <c r="J178" s="89">
        <f t="shared" si="57"/>
        <v>14</v>
      </c>
      <c r="K178" s="89">
        <f t="shared" si="58"/>
        <v>-990.22004199999992</v>
      </c>
      <c r="L178" s="89">
        <f t="shared" si="62"/>
        <v>14</v>
      </c>
      <c r="M178" s="89">
        <f t="shared" si="63"/>
        <v>-936.31995800000004</v>
      </c>
      <c r="N178" s="89"/>
      <c r="O178" s="89"/>
      <c r="P178" s="89"/>
      <c r="Q178" s="89"/>
      <c r="R178" s="89"/>
      <c r="S178" s="89"/>
    </row>
    <row r="179" spans="1:19" hidden="1" x14ac:dyDescent="0.4">
      <c r="A179" s="87" t="s">
        <v>167</v>
      </c>
      <c r="B179" s="88">
        <v>70.739998</v>
      </c>
      <c r="C179" s="88">
        <v>74.949996999999996</v>
      </c>
      <c r="D179" s="88">
        <v>70.25</v>
      </c>
      <c r="E179" s="88">
        <v>73.25</v>
      </c>
      <c r="F179" s="89">
        <f t="shared" si="59"/>
        <v>14</v>
      </c>
      <c r="G179" s="89">
        <f t="shared" si="56"/>
        <v>-990.35997199999997</v>
      </c>
      <c r="H179" s="89">
        <f t="shared" si="60"/>
        <v>13</v>
      </c>
      <c r="I179" s="89">
        <f t="shared" si="61"/>
        <v>-952.25</v>
      </c>
      <c r="J179" s="89">
        <f t="shared" si="57"/>
        <v>13</v>
      </c>
      <c r="K179" s="89">
        <f t="shared" si="58"/>
        <v>-974.34996099999989</v>
      </c>
      <c r="L179" s="89">
        <f t="shared" si="62"/>
        <v>14</v>
      </c>
      <c r="M179" s="89">
        <f t="shared" si="63"/>
        <v>-983.5</v>
      </c>
      <c r="N179" s="89"/>
      <c r="O179" s="89"/>
      <c r="P179" s="89">
        <f t="shared" ref="P179" si="76">INT(P$1/MAX(C168:C179))</f>
        <v>160</v>
      </c>
      <c r="Q179" s="89">
        <f t="shared" ref="Q179" si="77">P179*-MAX(C168:C179)</f>
        <v>-11991.999519999999</v>
      </c>
      <c r="R179" s="89">
        <f t="shared" ref="R179" si="78">INT(R$1/MIN(D168:D179))</f>
        <v>199</v>
      </c>
      <c r="S179" s="89">
        <f t="shared" ref="S179" si="79">R179*-MIN(D168:D179)</f>
        <v>-11947.960198999999</v>
      </c>
    </row>
    <row r="180" spans="1:19" hidden="1" x14ac:dyDescent="0.4">
      <c r="A180" s="87" t="s">
        <v>168</v>
      </c>
      <c r="B180" s="88">
        <v>73.260002</v>
      </c>
      <c r="C180" s="88">
        <v>73.819999999999993</v>
      </c>
      <c r="D180" s="88">
        <v>69.150002000000001</v>
      </c>
      <c r="E180" s="88">
        <v>71.269997000000004</v>
      </c>
      <c r="F180" s="89">
        <f t="shared" si="59"/>
        <v>13</v>
      </c>
      <c r="G180" s="89">
        <f t="shared" si="56"/>
        <v>-952.38002600000004</v>
      </c>
      <c r="H180" s="89">
        <f t="shared" si="60"/>
        <v>14</v>
      </c>
      <c r="I180" s="89">
        <f t="shared" si="61"/>
        <v>-997.77995800000008</v>
      </c>
      <c r="J180" s="89">
        <f t="shared" si="57"/>
        <v>13</v>
      </c>
      <c r="K180" s="89">
        <f t="shared" si="58"/>
        <v>-959.65999999999985</v>
      </c>
      <c r="L180" s="89">
        <f t="shared" si="62"/>
        <v>14</v>
      </c>
      <c r="M180" s="89">
        <f t="shared" si="63"/>
        <v>-968.10002800000007</v>
      </c>
      <c r="N180" s="89"/>
      <c r="O180" s="89"/>
      <c r="P180" s="89"/>
      <c r="Q180" s="89"/>
      <c r="R180" s="89"/>
      <c r="S180" s="89"/>
    </row>
    <row r="181" spans="1:19" hidden="1" x14ac:dyDescent="0.4">
      <c r="A181" s="87" t="s">
        <v>169</v>
      </c>
      <c r="B181" s="88">
        <v>71.75</v>
      </c>
      <c r="C181" s="88">
        <v>76.209998999999996</v>
      </c>
      <c r="D181" s="88">
        <v>71.349997999999999</v>
      </c>
      <c r="E181" s="88">
        <v>75.769997000000004</v>
      </c>
      <c r="F181" s="89">
        <f t="shared" si="59"/>
        <v>13</v>
      </c>
      <c r="G181" s="89">
        <f t="shared" si="56"/>
        <v>-932.75</v>
      </c>
      <c r="H181" s="89">
        <f t="shared" si="60"/>
        <v>13</v>
      </c>
      <c r="I181" s="89">
        <f t="shared" si="61"/>
        <v>-985.00996100000009</v>
      </c>
      <c r="J181" s="89">
        <f t="shared" si="57"/>
        <v>13</v>
      </c>
      <c r="K181" s="89">
        <f t="shared" si="58"/>
        <v>-990.72998699999994</v>
      </c>
      <c r="L181" s="89">
        <f t="shared" si="62"/>
        <v>14</v>
      </c>
      <c r="M181" s="89">
        <f t="shared" si="63"/>
        <v>-998.89997199999993</v>
      </c>
      <c r="N181" s="89"/>
      <c r="O181" s="89"/>
      <c r="P181" s="89"/>
      <c r="Q181" s="89"/>
      <c r="R181" s="89"/>
      <c r="S181" s="89"/>
    </row>
    <row r="182" spans="1:19" hidden="1" x14ac:dyDescent="0.4">
      <c r="A182" s="87" t="s">
        <v>170</v>
      </c>
      <c r="B182" s="88">
        <v>76.290001000000004</v>
      </c>
      <c r="C182" s="88">
        <v>77.279999000000004</v>
      </c>
      <c r="D182" s="88">
        <v>74.959998999999996</v>
      </c>
      <c r="E182" s="88">
        <v>75.470000999999996</v>
      </c>
      <c r="F182" s="89">
        <f t="shared" si="59"/>
        <v>13</v>
      </c>
      <c r="G182" s="89">
        <f t="shared" si="56"/>
        <v>-991.77001300000006</v>
      </c>
      <c r="H182" s="89">
        <f t="shared" si="60"/>
        <v>13</v>
      </c>
      <c r="I182" s="89">
        <f t="shared" si="61"/>
        <v>-981.11001299999998</v>
      </c>
      <c r="J182" s="89">
        <f t="shared" si="57"/>
        <v>12</v>
      </c>
      <c r="K182" s="89">
        <f t="shared" si="58"/>
        <v>-927.35998800000004</v>
      </c>
      <c r="L182" s="89">
        <f t="shared" si="62"/>
        <v>13</v>
      </c>
      <c r="M182" s="89">
        <f t="shared" si="63"/>
        <v>-974.47998699999994</v>
      </c>
      <c r="N182" s="89"/>
      <c r="O182" s="89"/>
      <c r="P182" s="89"/>
      <c r="Q182" s="89"/>
      <c r="R182" s="89"/>
      <c r="S182" s="89"/>
    </row>
    <row r="183" spans="1:19" hidden="1" x14ac:dyDescent="0.4">
      <c r="A183" s="87" t="s">
        <v>171</v>
      </c>
      <c r="B183" s="88">
        <v>76.089995999999999</v>
      </c>
      <c r="C183" s="88">
        <v>79.690002000000007</v>
      </c>
      <c r="D183" s="88">
        <v>75.540001000000004</v>
      </c>
      <c r="E183" s="88">
        <v>78.879997000000003</v>
      </c>
      <c r="F183" s="89">
        <f t="shared" si="59"/>
        <v>13</v>
      </c>
      <c r="G183" s="89">
        <f t="shared" si="56"/>
        <v>-989.16994799999998</v>
      </c>
      <c r="H183" s="89">
        <f t="shared" si="60"/>
        <v>12</v>
      </c>
      <c r="I183" s="89">
        <f t="shared" si="61"/>
        <v>-946.55996400000004</v>
      </c>
      <c r="J183" s="89">
        <f t="shared" si="57"/>
        <v>12</v>
      </c>
      <c r="K183" s="89">
        <f t="shared" si="58"/>
        <v>-956.28002400000014</v>
      </c>
      <c r="L183" s="89">
        <f t="shared" si="62"/>
        <v>13</v>
      </c>
      <c r="M183" s="89">
        <f t="shared" si="63"/>
        <v>-982.02001300000006</v>
      </c>
      <c r="N183" s="89"/>
      <c r="O183" s="89"/>
      <c r="P183" s="89"/>
      <c r="Q183" s="89"/>
      <c r="R183" s="89"/>
      <c r="S183" s="89"/>
    </row>
    <row r="184" spans="1:19" hidden="1" x14ac:dyDescent="0.4">
      <c r="A184" s="87" t="s">
        <v>172</v>
      </c>
      <c r="B184" s="88">
        <v>78.889999000000003</v>
      </c>
      <c r="C184" s="88">
        <v>83.489998</v>
      </c>
      <c r="D184" s="88">
        <v>76.349997999999999</v>
      </c>
      <c r="E184" s="88">
        <v>82.790001000000004</v>
      </c>
      <c r="F184" s="89">
        <f t="shared" si="59"/>
        <v>12</v>
      </c>
      <c r="G184" s="89">
        <f t="shared" si="56"/>
        <v>-946.67998800000009</v>
      </c>
      <c r="H184" s="89">
        <f t="shared" si="60"/>
        <v>12</v>
      </c>
      <c r="I184" s="89">
        <f t="shared" si="61"/>
        <v>-993.48001199999999</v>
      </c>
      <c r="J184" s="89">
        <f t="shared" si="57"/>
        <v>11</v>
      </c>
      <c r="K184" s="89">
        <f t="shared" si="58"/>
        <v>-918.38997800000004</v>
      </c>
      <c r="L184" s="89">
        <f t="shared" si="62"/>
        <v>13</v>
      </c>
      <c r="M184" s="89">
        <f t="shared" si="63"/>
        <v>-992.54997400000002</v>
      </c>
      <c r="N184" s="89"/>
      <c r="O184" s="89"/>
      <c r="P184" s="89"/>
      <c r="Q184" s="89"/>
      <c r="R184" s="89"/>
      <c r="S184" s="89"/>
    </row>
    <row r="185" spans="1:19" hidden="1" x14ac:dyDescent="0.4">
      <c r="A185" s="87" t="s">
        <v>173</v>
      </c>
      <c r="B185" s="88">
        <v>83.07</v>
      </c>
      <c r="C185" s="88">
        <v>85.839995999999999</v>
      </c>
      <c r="D185" s="88">
        <v>81.370002999999997</v>
      </c>
      <c r="E185" s="88">
        <v>85.730002999999996</v>
      </c>
      <c r="F185" s="89">
        <f t="shared" si="59"/>
        <v>12</v>
      </c>
      <c r="G185" s="89">
        <f t="shared" si="56"/>
        <v>-996.83999999999992</v>
      </c>
      <c r="H185" s="89">
        <f t="shared" si="60"/>
        <v>11</v>
      </c>
      <c r="I185" s="89">
        <f t="shared" si="61"/>
        <v>-943.030033</v>
      </c>
      <c r="J185" s="89">
        <f t="shared" si="57"/>
        <v>11</v>
      </c>
      <c r="K185" s="89">
        <f t="shared" si="58"/>
        <v>-944.23995600000001</v>
      </c>
      <c r="L185" s="89">
        <f t="shared" si="62"/>
        <v>12</v>
      </c>
      <c r="M185" s="89">
        <f t="shared" si="63"/>
        <v>-976.44003599999996</v>
      </c>
      <c r="N185" s="89"/>
      <c r="O185" s="89"/>
      <c r="P185" s="89"/>
      <c r="Q185" s="89"/>
      <c r="R185" s="89"/>
      <c r="S185" s="89"/>
    </row>
    <row r="186" spans="1:19" hidden="1" x14ac:dyDescent="0.4">
      <c r="A186" s="87" t="s">
        <v>174</v>
      </c>
      <c r="B186" s="88">
        <v>85.830001999999993</v>
      </c>
      <c r="C186" s="88">
        <v>87.959998999999996</v>
      </c>
      <c r="D186" s="88">
        <v>84.050003000000004</v>
      </c>
      <c r="E186" s="88">
        <v>87.959998999999996</v>
      </c>
      <c r="F186" s="89">
        <f t="shared" si="59"/>
        <v>11</v>
      </c>
      <c r="G186" s="89">
        <f t="shared" si="56"/>
        <v>-944.13002199999994</v>
      </c>
      <c r="H186" s="89">
        <f t="shared" si="60"/>
        <v>11</v>
      </c>
      <c r="I186" s="89">
        <f t="shared" si="61"/>
        <v>-967.55998899999997</v>
      </c>
      <c r="J186" s="89">
        <f t="shared" si="57"/>
        <v>11</v>
      </c>
      <c r="K186" s="89">
        <f t="shared" si="58"/>
        <v>-967.55998899999997</v>
      </c>
      <c r="L186" s="89">
        <f t="shared" si="62"/>
        <v>11</v>
      </c>
      <c r="M186" s="89">
        <f t="shared" si="63"/>
        <v>-924.55003299999998</v>
      </c>
      <c r="N186" s="89"/>
      <c r="O186" s="89"/>
      <c r="P186" s="89"/>
      <c r="Q186" s="89"/>
      <c r="R186" s="89"/>
      <c r="S186" s="89"/>
    </row>
    <row r="187" spans="1:19" hidden="1" x14ac:dyDescent="0.4">
      <c r="A187" s="87" t="s">
        <v>175</v>
      </c>
      <c r="B187" s="88">
        <v>87.550003000000004</v>
      </c>
      <c r="C187" s="88">
        <v>89</v>
      </c>
      <c r="D187" s="88">
        <v>84.760002</v>
      </c>
      <c r="E187" s="88">
        <v>86.269997000000004</v>
      </c>
      <c r="F187" s="89">
        <f t="shared" si="59"/>
        <v>11</v>
      </c>
      <c r="G187" s="89">
        <f t="shared" si="56"/>
        <v>-963.05003299999998</v>
      </c>
      <c r="H187" s="89">
        <f t="shared" si="60"/>
        <v>11</v>
      </c>
      <c r="I187" s="89">
        <f t="shared" si="61"/>
        <v>-948.969967</v>
      </c>
      <c r="J187" s="89">
        <f t="shared" si="57"/>
        <v>11</v>
      </c>
      <c r="K187" s="89">
        <f t="shared" si="58"/>
        <v>-979</v>
      </c>
      <c r="L187" s="89">
        <f t="shared" si="62"/>
        <v>11</v>
      </c>
      <c r="M187" s="89">
        <f t="shared" si="63"/>
        <v>-932.36002199999996</v>
      </c>
      <c r="N187" s="89"/>
      <c r="O187" s="89"/>
      <c r="P187" s="89"/>
      <c r="Q187" s="89"/>
      <c r="R187" s="89"/>
      <c r="S187" s="89"/>
    </row>
    <row r="188" spans="1:19" hidden="1" x14ac:dyDescent="0.4">
      <c r="A188" s="87" t="s">
        <v>176</v>
      </c>
      <c r="B188" s="88">
        <v>86.110000999999997</v>
      </c>
      <c r="C188" s="88">
        <v>90.959998999999996</v>
      </c>
      <c r="D188" s="88">
        <v>83.739998</v>
      </c>
      <c r="E188" s="88">
        <v>90.339995999999999</v>
      </c>
      <c r="F188" s="89">
        <f t="shared" si="59"/>
        <v>11</v>
      </c>
      <c r="G188" s="89">
        <f t="shared" si="56"/>
        <v>-947.21001100000001</v>
      </c>
      <c r="H188" s="89">
        <f t="shared" si="60"/>
        <v>11</v>
      </c>
      <c r="I188" s="89">
        <f t="shared" si="61"/>
        <v>-993.73995600000001</v>
      </c>
      <c r="J188" s="89">
        <f t="shared" si="57"/>
        <v>10</v>
      </c>
      <c r="K188" s="89">
        <f t="shared" si="58"/>
        <v>-909.59998999999993</v>
      </c>
      <c r="L188" s="89">
        <f t="shared" si="62"/>
        <v>11</v>
      </c>
      <c r="M188" s="89">
        <f t="shared" si="63"/>
        <v>-921.13997800000004</v>
      </c>
      <c r="N188" s="89"/>
      <c r="O188" s="89"/>
      <c r="P188" s="89"/>
      <c r="Q188" s="89"/>
      <c r="R188" s="89"/>
      <c r="S188" s="89"/>
    </row>
    <row r="189" spans="1:19" hidden="1" x14ac:dyDescent="0.4">
      <c r="A189" s="87" t="s">
        <v>177</v>
      </c>
      <c r="B189" s="88">
        <v>89.489998</v>
      </c>
      <c r="C189" s="88">
        <v>91.360000999999997</v>
      </c>
      <c r="D189" s="88">
        <v>86.400002000000001</v>
      </c>
      <c r="E189" s="88">
        <v>87.669998000000007</v>
      </c>
      <c r="F189" s="89">
        <f t="shared" si="59"/>
        <v>11</v>
      </c>
      <c r="G189" s="89">
        <f t="shared" si="56"/>
        <v>-984.38997800000004</v>
      </c>
      <c r="H189" s="89">
        <f t="shared" si="60"/>
        <v>11</v>
      </c>
      <c r="I189" s="89">
        <f t="shared" si="61"/>
        <v>-964.36997800000006</v>
      </c>
      <c r="J189" s="89">
        <f t="shared" si="57"/>
        <v>10</v>
      </c>
      <c r="K189" s="89">
        <f t="shared" si="58"/>
        <v>-913.60001</v>
      </c>
      <c r="L189" s="89">
        <f t="shared" si="62"/>
        <v>11</v>
      </c>
      <c r="M189" s="89">
        <f t="shared" si="63"/>
        <v>-950.40002200000004</v>
      </c>
      <c r="N189" s="89"/>
      <c r="O189" s="89"/>
      <c r="P189" s="89"/>
      <c r="Q189" s="89"/>
      <c r="R189" s="89"/>
      <c r="S189" s="89"/>
    </row>
    <row r="190" spans="1:19" hidden="1" x14ac:dyDescent="0.4">
      <c r="A190" s="87" t="s">
        <v>178</v>
      </c>
      <c r="B190" s="88">
        <v>88.099997999999999</v>
      </c>
      <c r="C190" s="88">
        <v>89.68</v>
      </c>
      <c r="D190" s="88">
        <v>83.279999000000004</v>
      </c>
      <c r="E190" s="88">
        <v>87.389999000000003</v>
      </c>
      <c r="F190" s="89">
        <f t="shared" si="59"/>
        <v>11</v>
      </c>
      <c r="G190" s="89">
        <f t="shared" si="56"/>
        <v>-969.09997799999996</v>
      </c>
      <c r="H190" s="89">
        <f t="shared" si="60"/>
        <v>11</v>
      </c>
      <c r="I190" s="89">
        <f t="shared" si="61"/>
        <v>-961.28998899999999</v>
      </c>
      <c r="J190" s="89">
        <f t="shared" si="57"/>
        <v>11</v>
      </c>
      <c r="K190" s="89">
        <f t="shared" si="58"/>
        <v>-986.48</v>
      </c>
      <c r="L190" s="89">
        <f t="shared" si="62"/>
        <v>12</v>
      </c>
      <c r="M190" s="89">
        <f t="shared" si="63"/>
        <v>-999.35998800000004</v>
      </c>
      <c r="N190" s="89"/>
      <c r="O190" s="89"/>
      <c r="P190" s="89"/>
      <c r="Q190" s="89"/>
      <c r="R190" s="89"/>
      <c r="S190" s="89"/>
    </row>
    <row r="191" spans="1:19" hidden="1" x14ac:dyDescent="0.4">
      <c r="A191" s="87" t="s">
        <v>179</v>
      </c>
      <c r="B191" s="88">
        <v>87.529999000000004</v>
      </c>
      <c r="C191" s="88">
        <v>91.449996999999996</v>
      </c>
      <c r="D191" s="88">
        <v>85.529999000000004</v>
      </c>
      <c r="E191" s="88">
        <v>91.309997999999993</v>
      </c>
      <c r="F191" s="89">
        <f t="shared" si="59"/>
        <v>11</v>
      </c>
      <c r="G191" s="89">
        <f t="shared" si="56"/>
        <v>-962.82998900000007</v>
      </c>
      <c r="H191" s="89">
        <f t="shared" si="60"/>
        <v>10</v>
      </c>
      <c r="I191" s="89">
        <f t="shared" si="61"/>
        <v>-913.09997999999996</v>
      </c>
      <c r="J191" s="89">
        <f t="shared" si="57"/>
        <v>10</v>
      </c>
      <c r="K191" s="89">
        <f t="shared" si="58"/>
        <v>-914.49996999999996</v>
      </c>
      <c r="L191" s="89">
        <f t="shared" si="62"/>
        <v>11</v>
      </c>
      <c r="M191" s="89">
        <f t="shared" si="63"/>
        <v>-940.82998900000007</v>
      </c>
      <c r="N191" s="89"/>
      <c r="O191" s="89"/>
      <c r="P191" s="89">
        <f t="shared" ref="P191" si="80">INT(P$1/MAX(C180:C191))</f>
        <v>131</v>
      </c>
      <c r="Q191" s="89">
        <f t="shared" ref="Q191" si="81">P191*-MAX(C180:C191)</f>
        <v>-11979.949606999999</v>
      </c>
      <c r="R191" s="89">
        <f t="shared" ref="R191" si="82">INT(R$1/MIN(D180:D191))</f>
        <v>173</v>
      </c>
      <c r="S191" s="89">
        <f t="shared" ref="S191" si="83">R191*-MIN(D180:D191)</f>
        <v>-11962.950346</v>
      </c>
    </row>
    <row r="192" spans="1:19" hidden="1" x14ac:dyDescent="0.4">
      <c r="A192" s="87" t="s">
        <v>180</v>
      </c>
      <c r="B192" s="88">
        <v>91.419998000000007</v>
      </c>
      <c r="C192" s="88">
        <v>94.139999000000003</v>
      </c>
      <c r="D192" s="88">
        <v>90.639999000000003</v>
      </c>
      <c r="E192" s="88">
        <v>93.910004000000001</v>
      </c>
      <c r="F192" s="89">
        <f t="shared" si="59"/>
        <v>10</v>
      </c>
      <c r="G192" s="89">
        <f t="shared" si="56"/>
        <v>-914.1999800000001</v>
      </c>
      <c r="H192" s="89">
        <f t="shared" si="60"/>
        <v>10</v>
      </c>
      <c r="I192" s="89">
        <f t="shared" si="61"/>
        <v>-939.10004000000004</v>
      </c>
      <c r="J192" s="89">
        <f t="shared" si="57"/>
        <v>10</v>
      </c>
      <c r="K192" s="89">
        <f t="shared" si="58"/>
        <v>-941.39999</v>
      </c>
      <c r="L192" s="89">
        <f t="shared" si="62"/>
        <v>11</v>
      </c>
      <c r="M192" s="89">
        <f t="shared" si="63"/>
        <v>-997.03998899999999</v>
      </c>
      <c r="N192" s="89"/>
      <c r="O192" s="89"/>
      <c r="P192" s="89"/>
      <c r="Q192" s="89"/>
      <c r="R192" s="89"/>
      <c r="S192" s="89"/>
    </row>
    <row r="193" spans="1:19" hidden="1" x14ac:dyDescent="0.4">
      <c r="A193" s="87" t="s">
        <v>181</v>
      </c>
      <c r="B193" s="88">
        <v>94.239998</v>
      </c>
      <c r="C193" s="88">
        <v>97.510002</v>
      </c>
      <c r="D193" s="88">
        <v>93.629997000000003</v>
      </c>
      <c r="E193" s="88">
        <v>95.019997000000004</v>
      </c>
      <c r="F193" s="89">
        <f t="shared" si="59"/>
        <v>10</v>
      </c>
      <c r="G193" s="89">
        <f t="shared" si="56"/>
        <v>-942.39998000000003</v>
      </c>
      <c r="H193" s="89">
        <f t="shared" si="60"/>
        <v>10</v>
      </c>
      <c r="I193" s="89">
        <f t="shared" si="61"/>
        <v>-950.19997000000001</v>
      </c>
      <c r="J193" s="89">
        <f t="shared" si="57"/>
        <v>10</v>
      </c>
      <c r="K193" s="89">
        <f t="shared" si="58"/>
        <v>-975.10001999999997</v>
      </c>
      <c r="L193" s="89">
        <f t="shared" si="62"/>
        <v>10</v>
      </c>
      <c r="M193" s="89">
        <f t="shared" si="63"/>
        <v>-936.29997000000003</v>
      </c>
      <c r="N193" s="89"/>
      <c r="O193" s="89"/>
      <c r="P193" s="89"/>
      <c r="Q193" s="89"/>
      <c r="R193" s="89"/>
      <c r="S193" s="89"/>
    </row>
    <row r="194" spans="1:19" hidden="1" x14ac:dyDescent="0.4">
      <c r="A194" s="87" t="s">
        <v>182</v>
      </c>
      <c r="B194" s="88">
        <v>94.82</v>
      </c>
      <c r="C194" s="88">
        <v>99.910004000000001</v>
      </c>
      <c r="D194" s="88">
        <v>93.889999000000003</v>
      </c>
      <c r="E194" s="88">
        <v>99.779999000000004</v>
      </c>
      <c r="F194" s="89">
        <f t="shared" si="59"/>
        <v>10</v>
      </c>
      <c r="G194" s="89">
        <f t="shared" si="56"/>
        <v>-948.19999999999993</v>
      </c>
      <c r="H194" s="89">
        <f t="shared" si="60"/>
        <v>10</v>
      </c>
      <c r="I194" s="89">
        <f t="shared" si="61"/>
        <v>-997.79998999999998</v>
      </c>
      <c r="J194" s="89">
        <f t="shared" si="57"/>
        <v>10</v>
      </c>
      <c r="K194" s="89">
        <f t="shared" si="58"/>
        <v>-999.10004000000004</v>
      </c>
      <c r="L194" s="89">
        <f t="shared" si="62"/>
        <v>10</v>
      </c>
      <c r="M194" s="89">
        <f t="shared" si="63"/>
        <v>-938.89999</v>
      </c>
      <c r="N194" s="89"/>
      <c r="O194" s="89"/>
      <c r="P194" s="89"/>
      <c r="Q194" s="89"/>
      <c r="R194" s="89"/>
      <c r="S194" s="89"/>
    </row>
    <row r="195" spans="1:19" hidden="1" x14ac:dyDescent="0.4">
      <c r="A195" s="87" t="s">
        <v>183</v>
      </c>
      <c r="B195" s="88">
        <v>100.019997</v>
      </c>
      <c r="C195" s="88">
        <v>100.55999799999999</v>
      </c>
      <c r="D195" s="88">
        <v>97.699996999999996</v>
      </c>
      <c r="E195" s="88">
        <v>98.790001000000004</v>
      </c>
      <c r="F195" s="89">
        <f t="shared" si="59"/>
        <v>9</v>
      </c>
      <c r="G195" s="89">
        <f t="shared" si="56"/>
        <v>-900.17997300000002</v>
      </c>
      <c r="H195" s="89">
        <f t="shared" si="60"/>
        <v>10</v>
      </c>
      <c r="I195" s="89">
        <f t="shared" si="61"/>
        <v>-987.90001000000007</v>
      </c>
      <c r="J195" s="89">
        <f t="shared" si="57"/>
        <v>9</v>
      </c>
      <c r="K195" s="89">
        <f t="shared" si="58"/>
        <v>-905.0399819999999</v>
      </c>
      <c r="L195" s="89">
        <f t="shared" si="62"/>
        <v>10</v>
      </c>
      <c r="M195" s="89">
        <f t="shared" si="63"/>
        <v>-976.99996999999996</v>
      </c>
      <c r="N195" s="89"/>
      <c r="O195" s="89"/>
      <c r="P195" s="89"/>
      <c r="Q195" s="89"/>
      <c r="R195" s="89"/>
      <c r="S195" s="89"/>
    </row>
    <row r="196" spans="1:19" hidden="1" x14ac:dyDescent="0.4">
      <c r="A196" s="87" t="s">
        <v>184</v>
      </c>
      <c r="B196" s="88">
        <v>98.510002</v>
      </c>
      <c r="C196" s="88">
        <v>101.75</v>
      </c>
      <c r="D196" s="88">
        <v>90.239998</v>
      </c>
      <c r="E196" s="88">
        <v>101.400002</v>
      </c>
      <c r="F196" s="89">
        <f t="shared" si="59"/>
        <v>10</v>
      </c>
      <c r="G196" s="89">
        <f t="shared" si="56"/>
        <v>-985.10001999999997</v>
      </c>
      <c r="H196" s="89">
        <f t="shared" si="60"/>
        <v>9</v>
      </c>
      <c r="I196" s="89">
        <f t="shared" si="61"/>
        <v>-912.60001799999998</v>
      </c>
      <c r="J196" s="89">
        <f t="shared" si="57"/>
        <v>9</v>
      </c>
      <c r="K196" s="89">
        <f t="shared" si="58"/>
        <v>-915.75</v>
      </c>
      <c r="L196" s="89">
        <f t="shared" si="62"/>
        <v>11</v>
      </c>
      <c r="M196" s="89">
        <f t="shared" si="63"/>
        <v>-992.63997800000004</v>
      </c>
      <c r="N196" s="89"/>
      <c r="O196" s="89"/>
      <c r="P196" s="89"/>
      <c r="Q196" s="89"/>
      <c r="R196" s="89"/>
      <c r="S196" s="89"/>
    </row>
    <row r="197" spans="1:19" hidden="1" x14ac:dyDescent="0.4">
      <c r="A197" s="87" t="s">
        <v>185</v>
      </c>
      <c r="B197" s="88">
        <v>101.58000199999999</v>
      </c>
      <c r="C197" s="88">
        <v>106.25</v>
      </c>
      <c r="D197" s="88">
        <v>100.66999800000001</v>
      </c>
      <c r="E197" s="88">
        <v>106.010002</v>
      </c>
      <c r="F197" s="89">
        <f t="shared" si="59"/>
        <v>9</v>
      </c>
      <c r="G197" s="89">
        <f t="shared" si="56"/>
        <v>-914.22001799999998</v>
      </c>
      <c r="H197" s="89">
        <f t="shared" si="60"/>
        <v>9</v>
      </c>
      <c r="I197" s="89">
        <f t="shared" si="61"/>
        <v>-954.09001799999999</v>
      </c>
      <c r="J197" s="89">
        <f t="shared" si="57"/>
        <v>9</v>
      </c>
      <c r="K197" s="89">
        <f t="shared" si="58"/>
        <v>-956.25</v>
      </c>
      <c r="L197" s="89">
        <f t="shared" si="62"/>
        <v>9</v>
      </c>
      <c r="M197" s="89">
        <f t="shared" si="63"/>
        <v>-906.02998200000002</v>
      </c>
      <c r="N197" s="89"/>
      <c r="O197" s="89"/>
      <c r="P197" s="89"/>
      <c r="Q197" s="89"/>
      <c r="R197" s="89"/>
      <c r="S197" s="89"/>
    </row>
    <row r="198" spans="1:19" hidden="1" x14ac:dyDescent="0.4">
      <c r="A198" s="87" t="s">
        <v>186</v>
      </c>
      <c r="B198" s="88">
        <v>105.720001</v>
      </c>
      <c r="C198" s="88">
        <v>105.91999800000001</v>
      </c>
      <c r="D198" s="88">
        <v>99.919998000000007</v>
      </c>
      <c r="E198" s="88">
        <v>103.25</v>
      </c>
      <c r="F198" s="89">
        <f t="shared" si="59"/>
        <v>9</v>
      </c>
      <c r="G198" s="89">
        <f t="shared" si="56"/>
        <v>-951.480009</v>
      </c>
      <c r="H198" s="89">
        <f t="shared" si="60"/>
        <v>9</v>
      </c>
      <c r="I198" s="89">
        <f t="shared" si="61"/>
        <v>-929.25</v>
      </c>
      <c r="J198" s="89">
        <f t="shared" si="57"/>
        <v>9</v>
      </c>
      <c r="K198" s="89">
        <f t="shared" si="58"/>
        <v>-953.27998200000002</v>
      </c>
      <c r="L198" s="89">
        <f t="shared" si="62"/>
        <v>10</v>
      </c>
      <c r="M198" s="89">
        <f t="shared" si="63"/>
        <v>-999.1999800000001</v>
      </c>
      <c r="N198" s="89"/>
      <c r="O198" s="89"/>
      <c r="P198" s="89"/>
      <c r="Q198" s="89"/>
      <c r="R198" s="89"/>
      <c r="S198" s="89"/>
    </row>
    <row r="199" spans="1:19" hidden="1" x14ac:dyDescent="0.4">
      <c r="A199" s="87" t="s">
        <v>187</v>
      </c>
      <c r="B199" s="88">
        <v>103.760002</v>
      </c>
      <c r="C199" s="88">
        <v>104.58000199999999</v>
      </c>
      <c r="D199" s="88">
        <v>99.360000999999997</v>
      </c>
      <c r="E199" s="88">
        <v>101.099998</v>
      </c>
      <c r="F199" s="89">
        <f t="shared" si="59"/>
        <v>9</v>
      </c>
      <c r="G199" s="89">
        <f t="shared" si="56"/>
        <v>-933.84001799999999</v>
      </c>
      <c r="H199" s="89">
        <f t="shared" si="60"/>
        <v>9</v>
      </c>
      <c r="I199" s="89">
        <f t="shared" si="61"/>
        <v>-909.89998200000002</v>
      </c>
      <c r="J199" s="89">
        <f t="shared" si="57"/>
        <v>9</v>
      </c>
      <c r="K199" s="89">
        <f t="shared" si="58"/>
        <v>-941.22001799999998</v>
      </c>
      <c r="L199" s="89">
        <f t="shared" si="62"/>
        <v>10</v>
      </c>
      <c r="M199" s="89">
        <f t="shared" si="63"/>
        <v>-993.60001</v>
      </c>
      <c r="N199" s="89"/>
      <c r="O199" s="89"/>
      <c r="P199" s="89"/>
      <c r="Q199" s="89"/>
      <c r="R199" s="89"/>
      <c r="S199" s="89"/>
    </row>
    <row r="200" spans="1:19" hidden="1" x14ac:dyDescent="0.4">
      <c r="A200" s="87" t="s">
        <v>188</v>
      </c>
      <c r="B200" s="88">
        <v>101.33000199999999</v>
      </c>
      <c r="C200" s="88">
        <v>108.94000200000001</v>
      </c>
      <c r="D200" s="88">
        <v>99.75</v>
      </c>
      <c r="E200" s="88">
        <v>108.400002</v>
      </c>
      <c r="F200" s="89">
        <f t="shared" si="59"/>
        <v>9</v>
      </c>
      <c r="G200" s="89">
        <f t="shared" si="56"/>
        <v>-911.97001799999998</v>
      </c>
      <c r="H200" s="89">
        <f t="shared" si="60"/>
        <v>9</v>
      </c>
      <c r="I200" s="89">
        <f t="shared" si="61"/>
        <v>-975.60001799999998</v>
      </c>
      <c r="J200" s="89">
        <f t="shared" si="57"/>
        <v>9</v>
      </c>
      <c r="K200" s="89">
        <f t="shared" si="58"/>
        <v>-980.4600180000001</v>
      </c>
      <c r="L200" s="89">
        <f t="shared" si="62"/>
        <v>10</v>
      </c>
      <c r="M200" s="89">
        <f t="shared" si="63"/>
        <v>-997.5</v>
      </c>
      <c r="N200" s="89"/>
      <c r="O200" s="89"/>
      <c r="P200" s="89"/>
      <c r="Q200" s="89"/>
      <c r="R200" s="89"/>
      <c r="S200" s="89"/>
    </row>
    <row r="201" spans="1:19" hidden="1" x14ac:dyDescent="0.4">
      <c r="A201" s="87" t="s">
        <v>189</v>
      </c>
      <c r="B201" s="88">
        <v>108.610001</v>
      </c>
      <c r="C201" s="88">
        <v>109.41999800000001</v>
      </c>
      <c r="D201" s="88">
        <v>104.239998</v>
      </c>
      <c r="E201" s="88">
        <v>105.599998</v>
      </c>
      <c r="F201" s="89">
        <f t="shared" si="59"/>
        <v>9</v>
      </c>
      <c r="G201" s="89">
        <f t="shared" si="56"/>
        <v>-977.49000899999999</v>
      </c>
      <c r="H201" s="89">
        <f t="shared" si="60"/>
        <v>9</v>
      </c>
      <c r="I201" s="89">
        <f t="shared" si="61"/>
        <v>-950.39998200000002</v>
      </c>
      <c r="J201" s="89">
        <f t="shared" si="57"/>
        <v>9</v>
      </c>
      <c r="K201" s="89">
        <f t="shared" si="58"/>
        <v>-984.77998200000002</v>
      </c>
      <c r="L201" s="89">
        <f t="shared" si="62"/>
        <v>9</v>
      </c>
      <c r="M201" s="89">
        <f t="shared" si="63"/>
        <v>-938.15998200000001</v>
      </c>
      <c r="N201" s="89"/>
      <c r="O201" s="89"/>
      <c r="P201" s="89"/>
      <c r="Q201" s="89"/>
      <c r="R201" s="89"/>
      <c r="S201" s="89"/>
    </row>
    <row r="202" spans="1:19" hidden="1" x14ac:dyDescent="0.4">
      <c r="A202" s="87" t="s">
        <v>190</v>
      </c>
      <c r="B202" s="88">
        <v>105.599998</v>
      </c>
      <c r="C202" s="88">
        <v>111.160004</v>
      </c>
      <c r="D202" s="88">
        <v>104.339996</v>
      </c>
      <c r="E202" s="88">
        <v>107.629997</v>
      </c>
      <c r="F202" s="89">
        <f t="shared" si="59"/>
        <v>9</v>
      </c>
      <c r="G202" s="89">
        <f t="shared" si="56"/>
        <v>-950.39998200000002</v>
      </c>
      <c r="H202" s="89">
        <f t="shared" si="60"/>
        <v>9</v>
      </c>
      <c r="I202" s="89">
        <f t="shared" si="61"/>
        <v>-968.66997300000003</v>
      </c>
      <c r="J202" s="89">
        <f t="shared" si="57"/>
        <v>8</v>
      </c>
      <c r="K202" s="89">
        <f t="shared" si="58"/>
        <v>-889.28003200000001</v>
      </c>
      <c r="L202" s="89">
        <f t="shared" si="62"/>
        <v>9</v>
      </c>
      <c r="M202" s="89">
        <f t="shared" si="63"/>
        <v>-939.05996400000004</v>
      </c>
      <c r="N202" s="89"/>
      <c r="O202" s="89"/>
      <c r="P202" s="89"/>
      <c r="Q202" s="89"/>
      <c r="R202" s="89"/>
      <c r="S202" s="89"/>
    </row>
    <row r="203" spans="1:19" hidden="1" x14ac:dyDescent="0.4">
      <c r="A203" s="87" t="s">
        <v>191</v>
      </c>
      <c r="B203" s="88">
        <v>108.050003</v>
      </c>
      <c r="C203" s="88">
        <v>111.08000199999999</v>
      </c>
      <c r="D203" s="88">
        <v>106</v>
      </c>
      <c r="E203" s="88">
        <v>110.050003</v>
      </c>
      <c r="F203" s="89">
        <f t="shared" si="59"/>
        <v>9</v>
      </c>
      <c r="G203" s="89">
        <f t="shared" si="56"/>
        <v>-972.45002700000009</v>
      </c>
      <c r="H203" s="89">
        <f t="shared" si="60"/>
        <v>9</v>
      </c>
      <c r="I203" s="89">
        <f t="shared" si="61"/>
        <v>-990.45002700000009</v>
      </c>
      <c r="J203" s="89">
        <f t="shared" si="57"/>
        <v>9</v>
      </c>
      <c r="K203" s="89">
        <f t="shared" si="58"/>
        <v>-999.72001799999998</v>
      </c>
      <c r="L203" s="89">
        <f t="shared" si="62"/>
        <v>9</v>
      </c>
      <c r="M203" s="89">
        <f t="shared" si="63"/>
        <v>-954</v>
      </c>
      <c r="N203" s="89"/>
      <c r="O203" s="89"/>
      <c r="P203" s="89">
        <f t="shared" ref="P203" si="84">INT(P$1/MAX(C192:C203))</f>
        <v>107</v>
      </c>
      <c r="Q203" s="89">
        <f t="shared" ref="Q203" si="85">P203*-MAX(C192:C203)</f>
        <v>-11894.120428</v>
      </c>
      <c r="R203" s="89">
        <f t="shared" ref="R203" si="86">INT(R$1/MIN(D192:D203))</f>
        <v>132</v>
      </c>
      <c r="S203" s="89">
        <f t="shared" ref="S203" si="87">R203*-MIN(D192:D203)</f>
        <v>-11911.679736</v>
      </c>
    </row>
    <row r="204" spans="1:19" hidden="1" x14ac:dyDescent="0.4">
      <c r="A204" s="87" t="s">
        <v>192</v>
      </c>
      <c r="B204" s="88">
        <v>110.639999</v>
      </c>
      <c r="C204" s="88">
        <v>111.129997</v>
      </c>
      <c r="D204" s="88">
        <v>106.639999</v>
      </c>
      <c r="E204" s="88">
        <v>107.07</v>
      </c>
      <c r="F204" s="89">
        <f t="shared" si="59"/>
        <v>9</v>
      </c>
      <c r="G204" s="89">
        <f t="shared" ref="G204:G267" si="88">-F204*B204</f>
        <v>-995.75999100000001</v>
      </c>
      <c r="H204" s="89">
        <f t="shared" si="60"/>
        <v>9</v>
      </c>
      <c r="I204" s="89">
        <f t="shared" si="61"/>
        <v>-963.62999999999988</v>
      </c>
      <c r="J204" s="89">
        <f t="shared" ref="J204:J267" si="89">INT(J$1/$C204)</f>
        <v>8</v>
      </c>
      <c r="K204" s="89">
        <f t="shared" ref="K204:K267" si="90">-J204*$C204</f>
        <v>-889.03997600000002</v>
      </c>
      <c r="L204" s="89">
        <f t="shared" si="62"/>
        <v>9</v>
      </c>
      <c r="M204" s="89">
        <f t="shared" si="63"/>
        <v>-959.75999100000001</v>
      </c>
      <c r="N204" s="89"/>
      <c r="O204" s="89"/>
      <c r="P204" s="89"/>
      <c r="Q204" s="89"/>
      <c r="R204" s="89"/>
      <c r="S204" s="89"/>
    </row>
    <row r="205" spans="1:19" hidden="1" x14ac:dyDescent="0.4">
      <c r="A205" s="87" t="s">
        <v>193</v>
      </c>
      <c r="B205" s="88">
        <v>108.129997</v>
      </c>
      <c r="C205" s="88">
        <v>114.389999</v>
      </c>
      <c r="D205" s="88">
        <v>105.83000199999999</v>
      </c>
      <c r="E205" s="88">
        <v>111.949997</v>
      </c>
      <c r="F205" s="89">
        <f t="shared" ref="F205:F268" si="91">INT(F$1/$B205)</f>
        <v>9</v>
      </c>
      <c r="G205" s="89">
        <f t="shared" si="88"/>
        <v>-973.16997300000003</v>
      </c>
      <c r="H205" s="89">
        <f t="shared" ref="H205:H268" si="92">INT(H$1/$E205)</f>
        <v>8</v>
      </c>
      <c r="I205" s="89">
        <f t="shared" ref="I205:I268" si="93">-H205*$E205</f>
        <v>-895.59997599999997</v>
      </c>
      <c r="J205" s="89">
        <f t="shared" si="89"/>
        <v>8</v>
      </c>
      <c r="K205" s="89">
        <f t="shared" si="90"/>
        <v>-915.11999200000002</v>
      </c>
      <c r="L205" s="89">
        <f t="shared" ref="L205:L268" si="94">INT(L$1/$D205)</f>
        <v>9</v>
      </c>
      <c r="M205" s="89">
        <f t="shared" ref="M205:M268" si="95">-L205*$D205</f>
        <v>-952.47001799999998</v>
      </c>
      <c r="N205" s="89"/>
      <c r="O205" s="89"/>
      <c r="P205" s="89"/>
      <c r="Q205" s="89"/>
      <c r="R205" s="89"/>
      <c r="S205" s="89"/>
    </row>
    <row r="206" spans="1:19" hidden="1" x14ac:dyDescent="0.4">
      <c r="A206" s="87" t="s">
        <v>194</v>
      </c>
      <c r="B206" s="88">
        <v>111.970001</v>
      </c>
      <c r="C206" s="88">
        <v>113</v>
      </c>
      <c r="D206" s="88">
        <v>84.739998</v>
      </c>
      <c r="E206" s="88">
        <v>104.30999799999999</v>
      </c>
      <c r="F206" s="89">
        <f t="shared" si="91"/>
        <v>8</v>
      </c>
      <c r="G206" s="89">
        <f t="shared" si="88"/>
        <v>-895.76000799999997</v>
      </c>
      <c r="H206" s="89">
        <f t="shared" si="92"/>
        <v>9</v>
      </c>
      <c r="I206" s="89">
        <f t="shared" si="93"/>
        <v>-938.7899819999999</v>
      </c>
      <c r="J206" s="89">
        <f t="shared" si="89"/>
        <v>8</v>
      </c>
      <c r="K206" s="89">
        <f t="shared" si="90"/>
        <v>-904</v>
      </c>
      <c r="L206" s="89">
        <f t="shared" si="94"/>
        <v>11</v>
      </c>
      <c r="M206" s="89">
        <f t="shared" si="95"/>
        <v>-932.13997800000004</v>
      </c>
      <c r="N206" s="89"/>
      <c r="O206" s="89"/>
      <c r="P206" s="89"/>
      <c r="Q206" s="89"/>
      <c r="R206" s="89"/>
      <c r="S206" s="89"/>
    </row>
    <row r="207" spans="1:19" hidden="1" x14ac:dyDescent="0.4">
      <c r="A207" s="87" t="s">
        <v>195</v>
      </c>
      <c r="B207" s="88">
        <v>101.709999</v>
      </c>
      <c r="C207" s="88">
        <v>108.730003</v>
      </c>
      <c r="D207" s="88">
        <v>98.75</v>
      </c>
      <c r="E207" s="88">
        <v>101.760002</v>
      </c>
      <c r="F207" s="89">
        <f t="shared" si="91"/>
        <v>9</v>
      </c>
      <c r="G207" s="89">
        <f t="shared" si="88"/>
        <v>-915.38999100000001</v>
      </c>
      <c r="H207" s="89">
        <f t="shared" si="92"/>
        <v>9</v>
      </c>
      <c r="I207" s="89">
        <f t="shared" si="93"/>
        <v>-915.84001799999999</v>
      </c>
      <c r="J207" s="89">
        <f t="shared" si="89"/>
        <v>9</v>
      </c>
      <c r="K207" s="89">
        <f t="shared" si="90"/>
        <v>-978.57002699999998</v>
      </c>
      <c r="L207" s="89">
        <f t="shared" si="94"/>
        <v>10</v>
      </c>
      <c r="M207" s="89">
        <f t="shared" si="95"/>
        <v>-987.5</v>
      </c>
      <c r="N207" s="89"/>
      <c r="O207" s="89"/>
      <c r="P207" s="89"/>
      <c r="Q207" s="89"/>
      <c r="R207" s="89"/>
      <c r="S207" s="89"/>
    </row>
    <row r="208" spans="1:19" hidden="1" x14ac:dyDescent="0.4">
      <c r="A208" s="87" t="s">
        <v>196</v>
      </c>
      <c r="B208" s="88">
        <v>101.94000200000001</v>
      </c>
      <c r="C208" s="88">
        <v>114.08000199999999</v>
      </c>
      <c r="D208" s="88">
        <v>100.480003</v>
      </c>
      <c r="E208" s="88">
        <v>113.33000199999999</v>
      </c>
      <c r="F208" s="89">
        <f t="shared" si="91"/>
        <v>9</v>
      </c>
      <c r="G208" s="89">
        <f t="shared" si="88"/>
        <v>-917.4600180000001</v>
      </c>
      <c r="H208" s="89">
        <f t="shared" si="92"/>
        <v>8</v>
      </c>
      <c r="I208" s="89">
        <f t="shared" si="93"/>
        <v>-906.64001599999995</v>
      </c>
      <c r="J208" s="89">
        <f t="shared" si="89"/>
        <v>8</v>
      </c>
      <c r="K208" s="89">
        <f t="shared" si="90"/>
        <v>-912.64001599999995</v>
      </c>
      <c r="L208" s="89">
        <f t="shared" si="94"/>
        <v>9</v>
      </c>
      <c r="M208" s="89">
        <f t="shared" si="95"/>
        <v>-904.32002699999998</v>
      </c>
      <c r="N208" s="89"/>
      <c r="O208" s="89"/>
      <c r="P208" s="89"/>
      <c r="Q208" s="89"/>
      <c r="R208" s="89"/>
      <c r="S208" s="89"/>
    </row>
    <row r="209" spans="1:19" hidden="1" x14ac:dyDescent="0.4">
      <c r="A209" s="87" t="s">
        <v>197</v>
      </c>
      <c r="B209" s="88">
        <v>113.629997</v>
      </c>
      <c r="C209" s="88">
        <v>115.470001</v>
      </c>
      <c r="D209" s="88">
        <v>109.480003</v>
      </c>
      <c r="E209" s="88">
        <v>114.019997</v>
      </c>
      <c r="F209" s="89">
        <f t="shared" si="91"/>
        <v>8</v>
      </c>
      <c r="G209" s="89">
        <f t="shared" si="88"/>
        <v>-909.03997600000002</v>
      </c>
      <c r="H209" s="89">
        <f t="shared" si="92"/>
        <v>8</v>
      </c>
      <c r="I209" s="89">
        <f t="shared" si="93"/>
        <v>-912.15997600000003</v>
      </c>
      <c r="J209" s="89">
        <f t="shared" si="89"/>
        <v>8</v>
      </c>
      <c r="K209" s="89">
        <f t="shared" si="90"/>
        <v>-923.76000799999997</v>
      </c>
      <c r="L209" s="89">
        <f t="shared" si="94"/>
        <v>9</v>
      </c>
      <c r="M209" s="89">
        <f t="shared" si="95"/>
        <v>-985.32002699999998</v>
      </c>
      <c r="N209" s="89"/>
      <c r="O209" s="89"/>
      <c r="P209" s="89"/>
      <c r="Q209" s="89"/>
      <c r="R209" s="89"/>
      <c r="S209" s="89"/>
    </row>
    <row r="210" spans="1:19" hidden="1" x14ac:dyDescent="0.4">
      <c r="A210" s="87" t="s">
        <v>198</v>
      </c>
      <c r="B210" s="88">
        <v>114.480003</v>
      </c>
      <c r="C210" s="88">
        <v>115.75</v>
      </c>
      <c r="D210" s="88">
        <v>109.379997</v>
      </c>
      <c r="E210" s="88">
        <v>111.860001</v>
      </c>
      <c r="F210" s="89">
        <f t="shared" si="91"/>
        <v>8</v>
      </c>
      <c r="G210" s="89">
        <f t="shared" si="88"/>
        <v>-915.84002399999997</v>
      </c>
      <c r="H210" s="89">
        <f t="shared" si="92"/>
        <v>8</v>
      </c>
      <c r="I210" s="89">
        <f t="shared" si="93"/>
        <v>-894.88000799999998</v>
      </c>
      <c r="J210" s="89">
        <f t="shared" si="89"/>
        <v>8</v>
      </c>
      <c r="K210" s="89">
        <f t="shared" si="90"/>
        <v>-926</v>
      </c>
      <c r="L210" s="89">
        <f t="shared" si="94"/>
        <v>9</v>
      </c>
      <c r="M210" s="89">
        <f t="shared" si="95"/>
        <v>-984.41997300000003</v>
      </c>
      <c r="N210" s="89"/>
      <c r="O210" s="89"/>
      <c r="P210" s="89"/>
      <c r="Q210" s="89"/>
      <c r="R210" s="89"/>
      <c r="S210" s="89"/>
    </row>
    <row r="211" spans="1:19" hidden="1" x14ac:dyDescent="0.4">
      <c r="A211" s="87" t="s">
        <v>199</v>
      </c>
      <c r="B211" s="88">
        <v>109.449997</v>
      </c>
      <c r="C211" s="88">
        <v>110.18</v>
      </c>
      <c r="D211" s="88">
        <v>97.25</v>
      </c>
      <c r="E211" s="88">
        <v>104.129997</v>
      </c>
      <c r="F211" s="89">
        <f t="shared" si="91"/>
        <v>9</v>
      </c>
      <c r="G211" s="89">
        <f t="shared" si="88"/>
        <v>-985.04997299999991</v>
      </c>
      <c r="H211" s="89">
        <f t="shared" si="92"/>
        <v>9</v>
      </c>
      <c r="I211" s="89">
        <f t="shared" si="93"/>
        <v>-937.16997300000003</v>
      </c>
      <c r="J211" s="89">
        <f t="shared" si="89"/>
        <v>9</v>
      </c>
      <c r="K211" s="89">
        <f t="shared" si="90"/>
        <v>-991.62000000000012</v>
      </c>
      <c r="L211" s="89">
        <f t="shared" si="94"/>
        <v>10</v>
      </c>
      <c r="M211" s="89">
        <f t="shared" si="95"/>
        <v>-972.5</v>
      </c>
      <c r="N211" s="89"/>
      <c r="O211" s="89"/>
      <c r="P211" s="89"/>
      <c r="Q211" s="89"/>
      <c r="R211" s="89"/>
      <c r="S211" s="89"/>
    </row>
    <row r="212" spans="1:19" hidden="1" x14ac:dyDescent="0.4">
      <c r="A212" s="87" t="s">
        <v>200</v>
      </c>
      <c r="B212" s="88">
        <v>103.629997</v>
      </c>
      <c r="C212" s="88">
        <v>104.800003</v>
      </c>
      <c r="D212" s="88">
        <v>94.839995999999999</v>
      </c>
      <c r="E212" s="88">
        <v>102.5</v>
      </c>
      <c r="F212" s="89">
        <f t="shared" si="91"/>
        <v>9</v>
      </c>
      <c r="G212" s="89">
        <f t="shared" si="88"/>
        <v>-932.66997300000003</v>
      </c>
      <c r="H212" s="89">
        <f t="shared" si="92"/>
        <v>9</v>
      </c>
      <c r="I212" s="89">
        <f t="shared" si="93"/>
        <v>-922.5</v>
      </c>
      <c r="J212" s="89">
        <f t="shared" si="89"/>
        <v>9</v>
      </c>
      <c r="K212" s="89">
        <f t="shared" si="90"/>
        <v>-943.20002700000009</v>
      </c>
      <c r="L212" s="89">
        <f t="shared" si="94"/>
        <v>10</v>
      </c>
      <c r="M212" s="89">
        <f t="shared" si="95"/>
        <v>-948.39995999999996</v>
      </c>
      <c r="N212" s="89"/>
      <c r="O212" s="89"/>
      <c r="P212" s="89"/>
      <c r="Q212" s="89"/>
      <c r="R212" s="89"/>
      <c r="S212" s="89"/>
    </row>
    <row r="213" spans="1:19" hidden="1" x14ac:dyDescent="0.4">
      <c r="A213" s="87" t="s">
        <v>201</v>
      </c>
      <c r="B213" s="88">
        <v>103.480003</v>
      </c>
      <c r="C213" s="88">
        <v>110.040001</v>
      </c>
      <c r="D213" s="88">
        <v>103.160004</v>
      </c>
      <c r="E213" s="88">
        <v>109.199997</v>
      </c>
      <c r="F213" s="89">
        <f t="shared" si="91"/>
        <v>9</v>
      </c>
      <c r="G213" s="89">
        <f t="shared" si="88"/>
        <v>-931.32002699999998</v>
      </c>
      <c r="H213" s="89">
        <f t="shared" si="92"/>
        <v>9</v>
      </c>
      <c r="I213" s="89">
        <f t="shared" si="93"/>
        <v>-982.79997299999991</v>
      </c>
      <c r="J213" s="89">
        <f t="shared" si="89"/>
        <v>9</v>
      </c>
      <c r="K213" s="89">
        <f t="shared" si="90"/>
        <v>-990.36000899999999</v>
      </c>
      <c r="L213" s="89">
        <f t="shared" si="94"/>
        <v>9</v>
      </c>
      <c r="M213" s="89">
        <f t="shared" si="95"/>
        <v>-928.44003599999996</v>
      </c>
      <c r="N213" s="89"/>
      <c r="O213" s="89"/>
      <c r="P213" s="89"/>
      <c r="Q213" s="89"/>
      <c r="R213" s="89"/>
      <c r="S213" s="89"/>
    </row>
    <row r="214" spans="1:19" hidden="1" x14ac:dyDescent="0.4">
      <c r="A214" s="87" t="s">
        <v>202</v>
      </c>
      <c r="B214" s="88">
        <v>108.540001</v>
      </c>
      <c r="C214" s="88">
        <v>111.44000200000001</v>
      </c>
      <c r="D214" s="88">
        <v>104.879997</v>
      </c>
      <c r="E214" s="88">
        <v>105.720001</v>
      </c>
      <c r="F214" s="89">
        <f t="shared" si="91"/>
        <v>9</v>
      </c>
      <c r="G214" s="89">
        <f t="shared" si="88"/>
        <v>-976.86000899999999</v>
      </c>
      <c r="H214" s="89">
        <f t="shared" si="92"/>
        <v>9</v>
      </c>
      <c r="I214" s="89">
        <f t="shared" si="93"/>
        <v>-951.480009</v>
      </c>
      <c r="J214" s="89">
        <f t="shared" si="89"/>
        <v>8</v>
      </c>
      <c r="K214" s="89">
        <f t="shared" si="90"/>
        <v>-891.52001600000006</v>
      </c>
      <c r="L214" s="89">
        <f t="shared" si="94"/>
        <v>9</v>
      </c>
      <c r="M214" s="89">
        <f t="shared" si="95"/>
        <v>-943.91997300000003</v>
      </c>
      <c r="N214" s="89"/>
      <c r="O214" s="89"/>
      <c r="P214" s="89"/>
      <c r="Q214" s="89"/>
      <c r="R214" s="89"/>
      <c r="S214" s="89"/>
    </row>
    <row r="215" spans="1:19" hidden="1" x14ac:dyDescent="0.4">
      <c r="A215" s="87" t="s">
        <v>203</v>
      </c>
      <c r="B215" s="88">
        <v>105.989998</v>
      </c>
      <c r="C215" s="88">
        <v>110.510002</v>
      </c>
      <c r="D215" s="88">
        <v>104.400002</v>
      </c>
      <c r="E215" s="88">
        <v>110.339996</v>
      </c>
      <c r="F215" s="89">
        <f t="shared" si="91"/>
        <v>9</v>
      </c>
      <c r="G215" s="89">
        <f t="shared" si="88"/>
        <v>-953.90998200000001</v>
      </c>
      <c r="H215" s="89">
        <f t="shared" si="92"/>
        <v>9</v>
      </c>
      <c r="I215" s="89">
        <f t="shared" si="93"/>
        <v>-993.05996400000004</v>
      </c>
      <c r="J215" s="89">
        <f t="shared" si="89"/>
        <v>9</v>
      </c>
      <c r="K215" s="89">
        <f t="shared" si="90"/>
        <v>-994.59001799999999</v>
      </c>
      <c r="L215" s="89">
        <f t="shared" si="94"/>
        <v>9</v>
      </c>
      <c r="M215" s="89">
        <f t="shared" si="95"/>
        <v>-939.60001799999998</v>
      </c>
      <c r="N215" s="89"/>
      <c r="O215" s="89"/>
      <c r="P215" s="89">
        <f t="shared" ref="P215" si="96">INT(P$1/MAX(C204:C215))</f>
        <v>103</v>
      </c>
      <c r="Q215" s="89">
        <f t="shared" ref="Q215" si="97">P215*-MAX(C204:C215)</f>
        <v>-11922.25</v>
      </c>
      <c r="R215" s="89">
        <f t="shared" ref="R215" si="98">INT(R$1/MIN(D204:D215))</f>
        <v>141</v>
      </c>
      <c r="S215" s="89">
        <f t="shared" ref="S215" si="99">R215*-MIN(D204:D215)</f>
        <v>-11948.339717999999</v>
      </c>
    </row>
    <row r="216" spans="1:19" hidden="1" x14ac:dyDescent="0.4">
      <c r="A216" s="87" t="s">
        <v>204</v>
      </c>
      <c r="B216" s="88">
        <v>110</v>
      </c>
      <c r="C216" s="88">
        <v>110.75</v>
      </c>
      <c r="D216" s="88">
        <v>101.75</v>
      </c>
      <c r="E216" s="88">
        <v>107.540001</v>
      </c>
      <c r="F216" s="89">
        <f t="shared" si="91"/>
        <v>9</v>
      </c>
      <c r="G216" s="89">
        <f t="shared" si="88"/>
        <v>-990</v>
      </c>
      <c r="H216" s="89">
        <f t="shared" si="92"/>
        <v>9</v>
      </c>
      <c r="I216" s="89">
        <f t="shared" si="93"/>
        <v>-967.86000899999999</v>
      </c>
      <c r="J216" s="89">
        <f t="shared" si="89"/>
        <v>9</v>
      </c>
      <c r="K216" s="89">
        <f t="shared" si="90"/>
        <v>-996.75</v>
      </c>
      <c r="L216" s="89">
        <f t="shared" si="94"/>
        <v>9</v>
      </c>
      <c r="M216" s="89">
        <f t="shared" si="95"/>
        <v>-915.75</v>
      </c>
      <c r="N216" s="89"/>
      <c r="O216" s="89"/>
      <c r="P216" s="89"/>
      <c r="Q216" s="89"/>
      <c r="R216" s="89"/>
      <c r="S216" s="89"/>
    </row>
    <row r="217" spans="1:19" hidden="1" x14ac:dyDescent="0.4">
      <c r="A217" s="87" t="s">
        <v>205</v>
      </c>
      <c r="B217" s="88">
        <v>107.489998</v>
      </c>
      <c r="C217" s="88">
        <v>115.540001</v>
      </c>
      <c r="D217" s="88">
        <v>106.57</v>
      </c>
      <c r="E217" s="88">
        <v>115.230003</v>
      </c>
      <c r="F217" s="89">
        <f t="shared" si="91"/>
        <v>9</v>
      </c>
      <c r="G217" s="89">
        <f t="shared" si="88"/>
        <v>-967.40998200000001</v>
      </c>
      <c r="H217" s="89">
        <f t="shared" si="92"/>
        <v>8</v>
      </c>
      <c r="I217" s="89">
        <f t="shared" si="93"/>
        <v>-921.84002399999997</v>
      </c>
      <c r="J217" s="89">
        <f t="shared" si="89"/>
        <v>8</v>
      </c>
      <c r="K217" s="89">
        <f t="shared" si="90"/>
        <v>-924.32000800000003</v>
      </c>
      <c r="L217" s="89">
        <f t="shared" si="94"/>
        <v>9</v>
      </c>
      <c r="M217" s="89">
        <f t="shared" si="95"/>
        <v>-959.12999999999988</v>
      </c>
      <c r="N217" s="89"/>
      <c r="O217" s="89"/>
      <c r="P217" s="89"/>
      <c r="Q217" s="89"/>
      <c r="R217" s="89"/>
      <c r="S217" s="89"/>
    </row>
    <row r="218" spans="1:19" hidden="1" x14ac:dyDescent="0.4">
      <c r="A218" s="87" t="s">
        <v>206</v>
      </c>
      <c r="B218" s="88">
        <v>115.30999799999999</v>
      </c>
      <c r="C218" s="88">
        <v>118.010002</v>
      </c>
      <c r="D218" s="88">
        <v>114.220001</v>
      </c>
      <c r="E218" s="88">
        <v>116.44000200000001</v>
      </c>
      <c r="F218" s="89">
        <f t="shared" si="91"/>
        <v>8</v>
      </c>
      <c r="G218" s="89">
        <f t="shared" si="88"/>
        <v>-922.47998399999994</v>
      </c>
      <c r="H218" s="89">
        <f t="shared" si="92"/>
        <v>8</v>
      </c>
      <c r="I218" s="89">
        <f t="shared" si="93"/>
        <v>-931.52001600000006</v>
      </c>
      <c r="J218" s="89">
        <f t="shared" si="89"/>
        <v>8</v>
      </c>
      <c r="K218" s="89">
        <f t="shared" si="90"/>
        <v>-944.080016</v>
      </c>
      <c r="L218" s="89">
        <f t="shared" si="94"/>
        <v>8</v>
      </c>
      <c r="M218" s="89">
        <f t="shared" si="95"/>
        <v>-913.76000799999997</v>
      </c>
      <c r="N218" s="89"/>
      <c r="O218" s="89"/>
      <c r="P218" s="89"/>
      <c r="Q218" s="89"/>
      <c r="R218" s="89"/>
      <c r="S218" s="89"/>
    </row>
    <row r="219" spans="1:19" hidden="1" x14ac:dyDescent="0.4">
      <c r="A219" s="87" t="s">
        <v>207</v>
      </c>
      <c r="B219" s="88">
        <v>116.480003</v>
      </c>
      <c r="C219" s="88">
        <v>119.220001</v>
      </c>
      <c r="D219" s="88">
        <v>113.629997</v>
      </c>
      <c r="E219" s="88">
        <v>118.720001</v>
      </c>
      <c r="F219" s="89">
        <f t="shared" si="91"/>
        <v>8</v>
      </c>
      <c r="G219" s="89">
        <f t="shared" si="88"/>
        <v>-931.84002399999997</v>
      </c>
      <c r="H219" s="89">
        <f t="shared" si="92"/>
        <v>8</v>
      </c>
      <c r="I219" s="89">
        <f t="shared" si="93"/>
        <v>-949.76000799999997</v>
      </c>
      <c r="J219" s="89">
        <f t="shared" si="89"/>
        <v>8</v>
      </c>
      <c r="K219" s="89">
        <f t="shared" si="90"/>
        <v>-953.76000799999997</v>
      </c>
      <c r="L219" s="89">
        <f t="shared" si="94"/>
        <v>8</v>
      </c>
      <c r="M219" s="89">
        <f t="shared" si="95"/>
        <v>-909.03997600000002</v>
      </c>
      <c r="N219" s="89"/>
      <c r="O219" s="89"/>
      <c r="P219" s="89"/>
      <c r="Q219" s="89"/>
      <c r="R219" s="89"/>
      <c r="S219" s="89"/>
    </row>
    <row r="220" spans="1:19" hidden="1" x14ac:dyDescent="0.4">
      <c r="A220" s="87" t="s">
        <v>208</v>
      </c>
      <c r="B220" s="88">
        <v>118.57</v>
      </c>
      <c r="C220" s="88">
        <v>119.660004</v>
      </c>
      <c r="D220" s="88">
        <v>115.94000200000001</v>
      </c>
      <c r="E220" s="88">
        <v>116.989998</v>
      </c>
      <c r="F220" s="89">
        <f t="shared" si="91"/>
        <v>8</v>
      </c>
      <c r="G220" s="89">
        <f t="shared" si="88"/>
        <v>-948.56</v>
      </c>
      <c r="H220" s="89">
        <f t="shared" si="92"/>
        <v>8</v>
      </c>
      <c r="I220" s="89">
        <f t="shared" si="93"/>
        <v>-935.919984</v>
      </c>
      <c r="J220" s="89">
        <f t="shared" si="89"/>
        <v>8</v>
      </c>
      <c r="K220" s="89">
        <f t="shared" si="90"/>
        <v>-957.28003200000001</v>
      </c>
      <c r="L220" s="89">
        <f t="shared" si="94"/>
        <v>8</v>
      </c>
      <c r="M220" s="89">
        <f t="shared" si="95"/>
        <v>-927.52001600000006</v>
      </c>
      <c r="N220" s="89"/>
      <c r="O220" s="89"/>
      <c r="P220" s="89"/>
      <c r="Q220" s="89"/>
      <c r="R220" s="89"/>
      <c r="S220" s="89"/>
    </row>
    <row r="221" spans="1:19" hidden="1" x14ac:dyDescent="0.4">
      <c r="A221" s="87" t="s">
        <v>209</v>
      </c>
      <c r="B221" s="88">
        <v>117.19000200000001</v>
      </c>
      <c r="C221" s="88">
        <v>119.510002</v>
      </c>
      <c r="D221" s="88">
        <v>113.449997</v>
      </c>
      <c r="E221" s="88">
        <v>117.5</v>
      </c>
      <c r="F221" s="89">
        <f t="shared" si="91"/>
        <v>8</v>
      </c>
      <c r="G221" s="89">
        <f t="shared" si="88"/>
        <v>-937.52001600000006</v>
      </c>
      <c r="H221" s="89">
        <f t="shared" si="92"/>
        <v>8</v>
      </c>
      <c r="I221" s="89">
        <f t="shared" si="93"/>
        <v>-940</v>
      </c>
      <c r="J221" s="89">
        <f t="shared" si="89"/>
        <v>8</v>
      </c>
      <c r="K221" s="89">
        <f t="shared" si="90"/>
        <v>-956.080016</v>
      </c>
      <c r="L221" s="89">
        <f t="shared" si="94"/>
        <v>8</v>
      </c>
      <c r="M221" s="89">
        <f t="shared" si="95"/>
        <v>-907.59997599999997</v>
      </c>
      <c r="N221" s="89"/>
      <c r="O221" s="89"/>
      <c r="P221" s="89"/>
      <c r="Q221" s="89"/>
      <c r="R221" s="89"/>
      <c r="S221" s="89"/>
    </row>
    <row r="222" spans="1:19" hidden="1" x14ac:dyDescent="0.4">
      <c r="A222" s="87" t="s">
        <v>210</v>
      </c>
      <c r="B222" s="88">
        <v>117.459999</v>
      </c>
      <c r="C222" s="88">
        <v>121.519997</v>
      </c>
      <c r="D222" s="88">
        <v>115.220001</v>
      </c>
      <c r="E222" s="88">
        <v>118.480003</v>
      </c>
      <c r="F222" s="89">
        <f t="shared" si="91"/>
        <v>8</v>
      </c>
      <c r="G222" s="89">
        <f t="shared" si="88"/>
        <v>-939.67999199999997</v>
      </c>
      <c r="H222" s="89">
        <f t="shared" si="92"/>
        <v>8</v>
      </c>
      <c r="I222" s="89">
        <f t="shared" si="93"/>
        <v>-947.84002399999997</v>
      </c>
      <c r="J222" s="89">
        <f t="shared" si="89"/>
        <v>8</v>
      </c>
      <c r="K222" s="89">
        <f t="shared" si="90"/>
        <v>-972.15997600000003</v>
      </c>
      <c r="L222" s="89">
        <f t="shared" si="94"/>
        <v>8</v>
      </c>
      <c r="M222" s="89">
        <f t="shared" si="95"/>
        <v>-921.76000799999997</v>
      </c>
      <c r="N222" s="89"/>
      <c r="O222" s="89"/>
      <c r="P222" s="89"/>
      <c r="Q222" s="89"/>
      <c r="R222" s="89"/>
      <c r="S222" s="89"/>
    </row>
    <row r="223" spans="1:19" hidden="1" x14ac:dyDescent="0.4">
      <c r="A223" s="87" t="s">
        <v>211</v>
      </c>
      <c r="B223" s="88">
        <v>119.269997</v>
      </c>
      <c r="C223" s="88">
        <v>125.91999800000001</v>
      </c>
      <c r="D223" s="88">
        <v>118.889999</v>
      </c>
      <c r="E223" s="88">
        <v>124.57</v>
      </c>
      <c r="F223" s="89">
        <f t="shared" si="91"/>
        <v>8</v>
      </c>
      <c r="G223" s="89">
        <f t="shared" si="88"/>
        <v>-954.15997600000003</v>
      </c>
      <c r="H223" s="89">
        <f t="shared" si="92"/>
        <v>8</v>
      </c>
      <c r="I223" s="89">
        <f t="shared" si="93"/>
        <v>-996.56</v>
      </c>
      <c r="J223" s="89">
        <f t="shared" si="89"/>
        <v>7</v>
      </c>
      <c r="K223" s="89">
        <f t="shared" si="90"/>
        <v>-881.43998600000009</v>
      </c>
      <c r="L223" s="89">
        <f t="shared" si="94"/>
        <v>8</v>
      </c>
      <c r="M223" s="89">
        <f t="shared" si="95"/>
        <v>-951.11999200000002</v>
      </c>
      <c r="N223" s="89"/>
      <c r="O223" s="89"/>
      <c r="P223" s="89"/>
      <c r="Q223" s="89"/>
      <c r="R223" s="89"/>
      <c r="S223" s="89"/>
    </row>
    <row r="224" spans="1:19" hidden="1" x14ac:dyDescent="0.4">
      <c r="A224" s="87" t="s">
        <v>212</v>
      </c>
      <c r="B224" s="88">
        <v>125.449997</v>
      </c>
      <c r="C224" s="88">
        <v>130.699997</v>
      </c>
      <c r="D224" s="88">
        <v>124.860001</v>
      </c>
      <c r="E224" s="88">
        <v>130.020004</v>
      </c>
      <c r="F224" s="89">
        <f t="shared" si="91"/>
        <v>7</v>
      </c>
      <c r="G224" s="89">
        <f t="shared" si="88"/>
        <v>-878.14997900000003</v>
      </c>
      <c r="H224" s="89">
        <f t="shared" si="92"/>
        <v>7</v>
      </c>
      <c r="I224" s="89">
        <f t="shared" si="93"/>
        <v>-910.14002800000003</v>
      </c>
      <c r="J224" s="89">
        <f t="shared" si="89"/>
        <v>7</v>
      </c>
      <c r="K224" s="89">
        <f t="shared" si="90"/>
        <v>-914.89997900000003</v>
      </c>
      <c r="L224" s="89">
        <f t="shared" si="94"/>
        <v>8</v>
      </c>
      <c r="M224" s="89">
        <f t="shared" si="95"/>
        <v>-998.88000799999998</v>
      </c>
      <c r="N224" s="89"/>
      <c r="O224" s="89"/>
      <c r="P224" s="89"/>
      <c r="Q224" s="89"/>
      <c r="R224" s="89"/>
      <c r="S224" s="89"/>
    </row>
    <row r="225" spans="1:19" hidden="1" x14ac:dyDescent="0.4">
      <c r="A225" s="87" t="s">
        <v>213</v>
      </c>
      <c r="B225" s="88">
        <v>130.85000600000001</v>
      </c>
      <c r="C225" s="88">
        <v>132.740005</v>
      </c>
      <c r="D225" s="88">
        <v>129.39999399999999</v>
      </c>
      <c r="E225" s="88">
        <v>132.38000500000001</v>
      </c>
      <c r="F225" s="89">
        <f t="shared" si="91"/>
        <v>7</v>
      </c>
      <c r="G225" s="89">
        <f t="shared" si="88"/>
        <v>-915.95004200000005</v>
      </c>
      <c r="H225" s="89">
        <f t="shared" si="92"/>
        <v>7</v>
      </c>
      <c r="I225" s="89">
        <f t="shared" si="93"/>
        <v>-926.66003500000011</v>
      </c>
      <c r="J225" s="89">
        <f t="shared" si="89"/>
        <v>7</v>
      </c>
      <c r="K225" s="89">
        <f t="shared" si="90"/>
        <v>-929.18003499999998</v>
      </c>
      <c r="L225" s="89">
        <f t="shared" si="94"/>
        <v>7</v>
      </c>
      <c r="M225" s="89">
        <f t="shared" si="95"/>
        <v>-905.79995799999995</v>
      </c>
      <c r="N225" s="89"/>
      <c r="O225" s="89"/>
      <c r="P225" s="89"/>
      <c r="Q225" s="89"/>
      <c r="R225" s="89"/>
      <c r="S225" s="89"/>
    </row>
    <row r="226" spans="1:19" hidden="1" x14ac:dyDescent="0.4">
      <c r="A226" s="87" t="s">
        <v>214</v>
      </c>
      <c r="B226" s="88">
        <v>132.490005</v>
      </c>
      <c r="C226" s="88">
        <v>136.33999600000001</v>
      </c>
      <c r="D226" s="88">
        <v>130.38000500000001</v>
      </c>
      <c r="E226" s="88">
        <v>135.990005</v>
      </c>
      <c r="F226" s="89">
        <f t="shared" si="91"/>
        <v>7</v>
      </c>
      <c r="G226" s="89">
        <f t="shared" si="88"/>
        <v>-927.43003499999998</v>
      </c>
      <c r="H226" s="89">
        <f t="shared" si="92"/>
        <v>7</v>
      </c>
      <c r="I226" s="89">
        <f t="shared" si="93"/>
        <v>-951.93003499999998</v>
      </c>
      <c r="J226" s="89">
        <f t="shared" si="89"/>
        <v>7</v>
      </c>
      <c r="K226" s="89">
        <f t="shared" si="90"/>
        <v>-954.37997200000007</v>
      </c>
      <c r="L226" s="89">
        <f t="shared" si="94"/>
        <v>7</v>
      </c>
      <c r="M226" s="89">
        <f t="shared" si="95"/>
        <v>-912.66003500000011</v>
      </c>
      <c r="N226" s="89"/>
      <c r="O226" s="89"/>
      <c r="P226" s="89"/>
      <c r="Q226" s="89"/>
      <c r="R226" s="89"/>
      <c r="S226" s="89"/>
    </row>
    <row r="227" spans="1:19" hidden="1" x14ac:dyDescent="0.4">
      <c r="A227" s="87" t="s">
        <v>215</v>
      </c>
      <c r="B227" s="88">
        <v>136.44000199999999</v>
      </c>
      <c r="C227" s="88">
        <v>141.83999600000001</v>
      </c>
      <c r="D227" s="88">
        <v>135.86999499999999</v>
      </c>
      <c r="E227" s="88">
        <v>141.28999300000001</v>
      </c>
      <c r="F227" s="89">
        <f t="shared" si="91"/>
        <v>7</v>
      </c>
      <c r="G227" s="89">
        <f t="shared" si="88"/>
        <v>-955.08001399999989</v>
      </c>
      <c r="H227" s="89">
        <f t="shared" si="92"/>
        <v>7</v>
      </c>
      <c r="I227" s="89">
        <f t="shared" si="93"/>
        <v>-989.0299510000001</v>
      </c>
      <c r="J227" s="89">
        <f t="shared" si="89"/>
        <v>7</v>
      </c>
      <c r="K227" s="89">
        <f t="shared" si="90"/>
        <v>-992.87997200000007</v>
      </c>
      <c r="L227" s="89">
        <f t="shared" si="94"/>
        <v>7</v>
      </c>
      <c r="M227" s="89">
        <f t="shared" si="95"/>
        <v>-951.08996499999989</v>
      </c>
      <c r="N227" s="89"/>
      <c r="O227" s="89"/>
      <c r="P227" s="89">
        <f t="shared" ref="P227" si="100">INT(P$1/MAX(C216:C227))</f>
        <v>84</v>
      </c>
      <c r="Q227" s="89">
        <f t="shared" ref="Q227" si="101">P227*-MAX(C216:C227)</f>
        <v>-11914.559664</v>
      </c>
      <c r="R227" s="89">
        <f t="shared" ref="R227" si="102">INT(R$1/MIN(D216:D227))</f>
        <v>117</v>
      </c>
      <c r="S227" s="89">
        <f t="shared" ref="S227" si="103">R227*-MIN(D216:D227)</f>
        <v>-11904.75</v>
      </c>
    </row>
    <row r="228" spans="1:19" hidden="1" x14ac:dyDescent="0.4">
      <c r="A228" s="87" t="s">
        <v>216</v>
      </c>
      <c r="B228" s="88">
        <v>141.58000200000001</v>
      </c>
      <c r="C228" s="88">
        <v>143.89999399999999</v>
      </c>
      <c r="D228" s="88">
        <v>136.25</v>
      </c>
      <c r="E228" s="88">
        <v>137.63999899999999</v>
      </c>
      <c r="F228" s="89">
        <f t="shared" si="91"/>
        <v>7</v>
      </c>
      <c r="G228" s="89">
        <f t="shared" si="88"/>
        <v>-991.06001400000002</v>
      </c>
      <c r="H228" s="89">
        <f t="shared" si="92"/>
        <v>7</v>
      </c>
      <c r="I228" s="89">
        <f t="shared" si="93"/>
        <v>-963.47999299999992</v>
      </c>
      <c r="J228" s="89">
        <f t="shared" si="89"/>
        <v>6</v>
      </c>
      <c r="K228" s="89">
        <f t="shared" si="90"/>
        <v>-863.39996399999995</v>
      </c>
      <c r="L228" s="89">
        <f t="shared" si="94"/>
        <v>7</v>
      </c>
      <c r="M228" s="89">
        <f t="shared" si="95"/>
        <v>-953.75</v>
      </c>
      <c r="N228" s="89"/>
      <c r="O228" s="89"/>
      <c r="P228" s="89"/>
      <c r="Q228" s="89"/>
      <c r="R228" s="89"/>
      <c r="S228" s="89"/>
    </row>
    <row r="229" spans="1:19" hidden="1" x14ac:dyDescent="0.4">
      <c r="A229" s="87" t="s">
        <v>217</v>
      </c>
      <c r="B229" s="88">
        <v>138.270004</v>
      </c>
      <c r="C229" s="88">
        <v>145.96000699999999</v>
      </c>
      <c r="D229" s="88">
        <v>135.800003</v>
      </c>
      <c r="E229" s="88">
        <v>143.229996</v>
      </c>
      <c r="F229" s="89">
        <f t="shared" si="91"/>
        <v>7</v>
      </c>
      <c r="G229" s="89">
        <f t="shared" si="88"/>
        <v>-967.89002800000003</v>
      </c>
      <c r="H229" s="89">
        <f t="shared" si="92"/>
        <v>6</v>
      </c>
      <c r="I229" s="89">
        <f t="shared" si="93"/>
        <v>-859.37997599999994</v>
      </c>
      <c r="J229" s="89">
        <f t="shared" si="89"/>
        <v>6</v>
      </c>
      <c r="K229" s="89">
        <f t="shared" si="90"/>
        <v>-875.76004199999988</v>
      </c>
      <c r="L229" s="89">
        <f t="shared" si="94"/>
        <v>7</v>
      </c>
      <c r="M229" s="89">
        <f t="shared" si="95"/>
        <v>-950.60002099999997</v>
      </c>
      <c r="N229" s="89"/>
      <c r="O229" s="89"/>
      <c r="P229" s="89"/>
      <c r="Q229" s="89"/>
      <c r="R229" s="89"/>
      <c r="S229" s="89"/>
    </row>
    <row r="230" spans="1:19" hidden="1" x14ac:dyDescent="0.4">
      <c r="A230" s="87" t="s">
        <v>218</v>
      </c>
      <c r="B230" s="88">
        <v>143.720001</v>
      </c>
      <c r="C230" s="88">
        <v>146.21000699999999</v>
      </c>
      <c r="D230" s="88">
        <v>140.179993</v>
      </c>
      <c r="E230" s="88">
        <v>146.199997</v>
      </c>
      <c r="F230" s="89">
        <f t="shared" si="91"/>
        <v>6</v>
      </c>
      <c r="G230" s="89">
        <f t="shared" si="88"/>
        <v>-862.32000599999992</v>
      </c>
      <c r="H230" s="89">
        <f t="shared" si="92"/>
        <v>6</v>
      </c>
      <c r="I230" s="89">
        <f t="shared" si="93"/>
        <v>-877.19998199999998</v>
      </c>
      <c r="J230" s="89">
        <f t="shared" si="89"/>
        <v>6</v>
      </c>
      <c r="K230" s="89">
        <f t="shared" si="90"/>
        <v>-877.26004199999988</v>
      </c>
      <c r="L230" s="89">
        <f t="shared" si="94"/>
        <v>7</v>
      </c>
      <c r="M230" s="89">
        <f t="shared" si="95"/>
        <v>-981.259951</v>
      </c>
      <c r="N230" s="89"/>
      <c r="O230" s="89"/>
      <c r="P230" s="89"/>
      <c r="Q230" s="89"/>
      <c r="R230" s="89"/>
      <c r="S230" s="89"/>
    </row>
    <row r="231" spans="1:19" hidden="1" x14ac:dyDescent="0.4">
      <c r="A231" s="87" t="s">
        <v>219</v>
      </c>
      <c r="B231" s="88">
        <v>146.38999899999999</v>
      </c>
      <c r="C231" s="88">
        <v>146.58999600000001</v>
      </c>
      <c r="D231" s="88">
        <v>142.10000600000001</v>
      </c>
      <c r="E231" s="88">
        <v>145.449997</v>
      </c>
      <c r="F231" s="89">
        <f t="shared" si="91"/>
        <v>6</v>
      </c>
      <c r="G231" s="89">
        <f t="shared" si="88"/>
        <v>-878.33999399999993</v>
      </c>
      <c r="H231" s="89">
        <f t="shared" si="92"/>
        <v>6</v>
      </c>
      <c r="I231" s="89">
        <f t="shared" si="93"/>
        <v>-872.69998199999998</v>
      </c>
      <c r="J231" s="89">
        <f t="shared" si="89"/>
        <v>6</v>
      </c>
      <c r="K231" s="89">
        <f t="shared" si="90"/>
        <v>-879.53997600000002</v>
      </c>
      <c r="L231" s="89">
        <f t="shared" si="94"/>
        <v>7</v>
      </c>
      <c r="M231" s="89">
        <f t="shared" si="95"/>
        <v>-994.70004200000005</v>
      </c>
      <c r="N231" s="89"/>
      <c r="O231" s="89"/>
      <c r="P231" s="89"/>
      <c r="Q231" s="89"/>
      <c r="R231" s="89"/>
      <c r="S231" s="89"/>
    </row>
    <row r="232" spans="1:19" hidden="1" x14ac:dyDescent="0.4">
      <c r="A232" s="87" t="s">
        <v>220</v>
      </c>
      <c r="B232" s="88">
        <v>145.66999799999999</v>
      </c>
      <c r="C232" s="88">
        <v>152.36999499999999</v>
      </c>
      <c r="D232" s="88">
        <v>144.929993</v>
      </c>
      <c r="E232" s="88">
        <v>152.14999399999999</v>
      </c>
      <c r="F232" s="89">
        <f t="shared" si="91"/>
        <v>6</v>
      </c>
      <c r="G232" s="89">
        <f t="shared" si="88"/>
        <v>-874.01998800000001</v>
      </c>
      <c r="H232" s="89">
        <f t="shared" si="92"/>
        <v>6</v>
      </c>
      <c r="I232" s="89">
        <f t="shared" si="93"/>
        <v>-912.89996399999995</v>
      </c>
      <c r="J232" s="89">
        <f t="shared" si="89"/>
        <v>6</v>
      </c>
      <c r="K232" s="89">
        <f t="shared" si="90"/>
        <v>-914.21996999999988</v>
      </c>
      <c r="L232" s="89">
        <f t="shared" si="94"/>
        <v>6</v>
      </c>
      <c r="M232" s="89">
        <f t="shared" si="95"/>
        <v>-869.57995800000003</v>
      </c>
      <c r="N232" s="89"/>
      <c r="O232" s="89"/>
      <c r="P232" s="89"/>
      <c r="Q232" s="89"/>
      <c r="R232" s="89"/>
      <c r="S232" s="89"/>
    </row>
    <row r="233" spans="1:19" hidden="1" x14ac:dyDescent="0.4">
      <c r="A233" s="87" t="s">
        <v>221</v>
      </c>
      <c r="B233" s="88">
        <v>152.759995</v>
      </c>
      <c r="C233" s="88">
        <v>156.69000199999999</v>
      </c>
      <c r="D233" s="88">
        <v>150.770004</v>
      </c>
      <c r="E233" s="88">
        <v>155.14999399999999</v>
      </c>
      <c r="F233" s="89">
        <f t="shared" si="91"/>
        <v>6</v>
      </c>
      <c r="G233" s="89">
        <f t="shared" si="88"/>
        <v>-916.55997000000002</v>
      </c>
      <c r="H233" s="89">
        <f t="shared" si="92"/>
        <v>6</v>
      </c>
      <c r="I233" s="89">
        <f t="shared" si="93"/>
        <v>-930.89996399999995</v>
      </c>
      <c r="J233" s="89">
        <f t="shared" si="89"/>
        <v>6</v>
      </c>
      <c r="K233" s="89">
        <f t="shared" si="90"/>
        <v>-940.14001199999996</v>
      </c>
      <c r="L233" s="89">
        <f t="shared" si="94"/>
        <v>6</v>
      </c>
      <c r="M233" s="89">
        <f t="shared" si="95"/>
        <v>-904.62002400000006</v>
      </c>
      <c r="N233" s="89"/>
      <c r="O233" s="89"/>
      <c r="P233" s="89"/>
      <c r="Q233" s="89"/>
      <c r="R233" s="89"/>
      <c r="S233" s="89"/>
    </row>
    <row r="234" spans="1:19" hidden="1" x14ac:dyDescent="0.4">
      <c r="A234" s="87" t="s">
        <v>222</v>
      </c>
      <c r="B234" s="88">
        <v>154.199997</v>
      </c>
      <c r="C234" s="88">
        <v>158.770004</v>
      </c>
      <c r="D234" s="88">
        <v>152.05999800000001</v>
      </c>
      <c r="E234" s="88">
        <v>155.759995</v>
      </c>
      <c r="F234" s="89">
        <f t="shared" si="91"/>
        <v>6</v>
      </c>
      <c r="G234" s="89">
        <f t="shared" si="88"/>
        <v>-925.19998199999998</v>
      </c>
      <c r="H234" s="89">
        <f t="shared" si="92"/>
        <v>6</v>
      </c>
      <c r="I234" s="89">
        <f t="shared" si="93"/>
        <v>-934.55997000000002</v>
      </c>
      <c r="J234" s="89">
        <f t="shared" si="89"/>
        <v>6</v>
      </c>
      <c r="K234" s="89">
        <f t="shared" si="90"/>
        <v>-952.62002400000006</v>
      </c>
      <c r="L234" s="89">
        <f t="shared" si="94"/>
        <v>6</v>
      </c>
      <c r="M234" s="89">
        <f t="shared" si="95"/>
        <v>-912.35998800000004</v>
      </c>
      <c r="N234" s="89"/>
      <c r="O234" s="89"/>
      <c r="P234" s="89"/>
      <c r="Q234" s="89"/>
      <c r="R234" s="89"/>
      <c r="S234" s="89"/>
    </row>
    <row r="235" spans="1:19" hidden="1" x14ac:dyDescent="0.4">
      <c r="A235" s="87" t="s">
        <v>223</v>
      </c>
      <c r="B235" s="88">
        <v>156.55999800000001</v>
      </c>
      <c r="C235" s="88">
        <v>170.949997</v>
      </c>
      <c r="D235" s="88">
        <v>156.16999799999999</v>
      </c>
      <c r="E235" s="88">
        <v>169.39999399999999</v>
      </c>
      <c r="F235" s="89">
        <f t="shared" si="91"/>
        <v>6</v>
      </c>
      <c r="G235" s="89">
        <f t="shared" si="88"/>
        <v>-939.35998800000004</v>
      </c>
      <c r="H235" s="89">
        <f t="shared" si="92"/>
        <v>5</v>
      </c>
      <c r="I235" s="89">
        <f t="shared" si="93"/>
        <v>-846.99996999999996</v>
      </c>
      <c r="J235" s="89">
        <f t="shared" si="89"/>
        <v>5</v>
      </c>
      <c r="K235" s="89">
        <f t="shared" si="90"/>
        <v>-854.74998499999992</v>
      </c>
      <c r="L235" s="89">
        <f t="shared" si="94"/>
        <v>6</v>
      </c>
      <c r="M235" s="89">
        <f t="shared" si="95"/>
        <v>-937.01998800000001</v>
      </c>
      <c r="N235" s="89"/>
      <c r="O235" s="89"/>
      <c r="P235" s="89"/>
      <c r="Q235" s="89"/>
      <c r="R235" s="89"/>
      <c r="S235" s="89"/>
    </row>
    <row r="236" spans="1:19" hidden="1" x14ac:dyDescent="0.4">
      <c r="A236" s="87" t="s">
        <v>224</v>
      </c>
      <c r="B236" s="88">
        <v>168.10000600000001</v>
      </c>
      <c r="C236" s="88">
        <v>170.729996</v>
      </c>
      <c r="D236" s="88">
        <v>150.13000500000001</v>
      </c>
      <c r="E236" s="88">
        <v>167.21000699999999</v>
      </c>
      <c r="F236" s="89">
        <f t="shared" si="91"/>
        <v>5</v>
      </c>
      <c r="G236" s="89">
        <f t="shared" si="88"/>
        <v>-840.50003000000004</v>
      </c>
      <c r="H236" s="89">
        <f t="shared" si="92"/>
        <v>5</v>
      </c>
      <c r="I236" s="89">
        <f t="shared" si="93"/>
        <v>-836.05003499999998</v>
      </c>
      <c r="J236" s="89">
        <f t="shared" si="89"/>
        <v>5</v>
      </c>
      <c r="K236" s="89">
        <f t="shared" si="90"/>
        <v>-853.64998000000003</v>
      </c>
      <c r="L236" s="89">
        <f t="shared" si="94"/>
        <v>6</v>
      </c>
      <c r="M236" s="89">
        <f t="shared" si="95"/>
        <v>-900.78003000000012</v>
      </c>
      <c r="N236" s="89"/>
      <c r="O236" s="89"/>
      <c r="P236" s="89"/>
      <c r="Q236" s="89"/>
      <c r="R236" s="89"/>
      <c r="S236" s="89"/>
    </row>
    <row r="237" spans="1:19" hidden="1" x14ac:dyDescent="0.4">
      <c r="A237" s="87" t="s">
        <v>225</v>
      </c>
      <c r="B237" s="88">
        <v>167.300003</v>
      </c>
      <c r="C237" s="88">
        <v>175.21000699999999</v>
      </c>
      <c r="D237" s="88">
        <v>156.03999300000001</v>
      </c>
      <c r="E237" s="88">
        <v>160.13000500000001</v>
      </c>
      <c r="F237" s="89">
        <f t="shared" si="91"/>
        <v>5</v>
      </c>
      <c r="G237" s="89">
        <f t="shared" si="88"/>
        <v>-836.50001500000008</v>
      </c>
      <c r="H237" s="89">
        <f t="shared" si="92"/>
        <v>6</v>
      </c>
      <c r="I237" s="89">
        <f t="shared" si="93"/>
        <v>-960.78003000000012</v>
      </c>
      <c r="J237" s="89">
        <f t="shared" si="89"/>
        <v>5</v>
      </c>
      <c r="K237" s="89">
        <f t="shared" si="90"/>
        <v>-876.05003499999998</v>
      </c>
      <c r="L237" s="89">
        <f t="shared" si="94"/>
        <v>6</v>
      </c>
      <c r="M237" s="89">
        <f t="shared" si="95"/>
        <v>-936.23995800000012</v>
      </c>
      <c r="N237" s="89"/>
      <c r="O237" s="89"/>
      <c r="P237" s="89"/>
      <c r="Q237" s="89"/>
      <c r="R237" s="89"/>
      <c r="S237" s="89"/>
    </row>
    <row r="238" spans="1:19" hidden="1" x14ac:dyDescent="0.4">
      <c r="A238" s="87" t="s">
        <v>226</v>
      </c>
      <c r="B238" s="88">
        <v>158.990005</v>
      </c>
      <c r="C238" s="88">
        <v>167</v>
      </c>
      <c r="D238" s="88">
        <v>153.88000500000001</v>
      </c>
      <c r="E238" s="88">
        <v>160.94000199999999</v>
      </c>
      <c r="F238" s="89">
        <f t="shared" si="91"/>
        <v>6</v>
      </c>
      <c r="G238" s="89">
        <f t="shared" si="88"/>
        <v>-953.94002999999998</v>
      </c>
      <c r="H238" s="89">
        <f t="shared" si="92"/>
        <v>6</v>
      </c>
      <c r="I238" s="89">
        <f t="shared" si="93"/>
        <v>-965.64001199999996</v>
      </c>
      <c r="J238" s="89">
        <f t="shared" si="89"/>
        <v>5</v>
      </c>
      <c r="K238" s="89">
        <f t="shared" si="90"/>
        <v>-835</v>
      </c>
      <c r="L238" s="89">
        <f t="shared" si="94"/>
        <v>6</v>
      </c>
      <c r="M238" s="89">
        <f t="shared" si="95"/>
        <v>-923.28003000000012</v>
      </c>
      <c r="N238" s="89"/>
      <c r="O238" s="89"/>
      <c r="P238" s="89"/>
      <c r="Q238" s="89"/>
      <c r="R238" s="89"/>
      <c r="S238" s="89"/>
    </row>
    <row r="239" spans="1:19" hidden="1" x14ac:dyDescent="0.4">
      <c r="A239" s="87" t="s">
        <v>227</v>
      </c>
      <c r="B239" s="88">
        <v>160.520004</v>
      </c>
      <c r="C239" s="88">
        <v>171.199997</v>
      </c>
      <c r="D239" s="88">
        <v>159.220001</v>
      </c>
      <c r="E239" s="88">
        <v>170.070007</v>
      </c>
      <c r="F239" s="89">
        <f t="shared" si="91"/>
        <v>6</v>
      </c>
      <c r="G239" s="89">
        <f t="shared" si="88"/>
        <v>-963.12002400000006</v>
      </c>
      <c r="H239" s="89">
        <f t="shared" si="92"/>
        <v>5</v>
      </c>
      <c r="I239" s="89">
        <f t="shared" si="93"/>
        <v>-850.35003500000005</v>
      </c>
      <c r="J239" s="89">
        <f t="shared" si="89"/>
        <v>5</v>
      </c>
      <c r="K239" s="89">
        <f t="shared" si="90"/>
        <v>-855.99998499999992</v>
      </c>
      <c r="L239" s="89">
        <f t="shared" si="94"/>
        <v>6</v>
      </c>
      <c r="M239" s="89">
        <f t="shared" si="95"/>
        <v>-955.32000599999992</v>
      </c>
      <c r="N239" s="89"/>
      <c r="O239" s="89"/>
      <c r="P239" s="89">
        <f t="shared" ref="P239" si="104">INT(P$1/MAX(C228:C239))</f>
        <v>68</v>
      </c>
      <c r="Q239" s="89">
        <f t="shared" ref="Q239" si="105">P239*-MAX(C228:C239)</f>
        <v>-11914.280476</v>
      </c>
      <c r="R239" s="89">
        <f t="shared" ref="R239" si="106">INT(R$1/MIN(D228:D239))</f>
        <v>88</v>
      </c>
      <c r="S239" s="89">
        <f t="shared" ref="S239" si="107">R239*-MIN(D228:D239)</f>
        <v>-11950.400264</v>
      </c>
    </row>
    <row r="240" spans="1:19" hidden="1" x14ac:dyDescent="0.4">
      <c r="A240" s="87" t="s">
        <v>228</v>
      </c>
      <c r="B240" s="88">
        <v>170.91999799999999</v>
      </c>
      <c r="C240" s="88">
        <v>177.979996</v>
      </c>
      <c r="D240" s="88">
        <v>169.16999799999999</v>
      </c>
      <c r="E240" s="88">
        <v>171.64999399999999</v>
      </c>
      <c r="F240" s="89">
        <f t="shared" si="91"/>
        <v>5</v>
      </c>
      <c r="G240" s="89">
        <f t="shared" si="88"/>
        <v>-854.59998999999993</v>
      </c>
      <c r="H240" s="89">
        <f t="shared" si="92"/>
        <v>5</v>
      </c>
      <c r="I240" s="89">
        <f t="shared" si="93"/>
        <v>-858.24996999999996</v>
      </c>
      <c r="J240" s="89">
        <f t="shared" si="89"/>
        <v>5</v>
      </c>
      <c r="K240" s="89">
        <f t="shared" si="90"/>
        <v>-889.89998000000003</v>
      </c>
      <c r="L240" s="89">
        <f t="shared" si="94"/>
        <v>5</v>
      </c>
      <c r="M240" s="89">
        <f t="shared" si="95"/>
        <v>-845.84998999999993</v>
      </c>
      <c r="N240" s="89"/>
      <c r="O240" s="89"/>
      <c r="P240" s="89"/>
      <c r="Q240" s="89"/>
      <c r="R240" s="89"/>
      <c r="S240" s="89"/>
    </row>
    <row r="241" spans="1:19" hidden="1" x14ac:dyDescent="0.4">
      <c r="A241" s="87" t="s">
        <v>229</v>
      </c>
      <c r="B241" s="88">
        <v>170.03999300000001</v>
      </c>
      <c r="C241" s="88">
        <v>182.929993</v>
      </c>
      <c r="D241" s="88">
        <v>169.66999799999999</v>
      </c>
      <c r="E241" s="88">
        <v>176.449997</v>
      </c>
      <c r="F241" s="89">
        <f t="shared" si="91"/>
        <v>5</v>
      </c>
      <c r="G241" s="89">
        <f t="shared" si="88"/>
        <v>-850.19996500000002</v>
      </c>
      <c r="H241" s="89">
        <f t="shared" si="92"/>
        <v>5</v>
      </c>
      <c r="I241" s="89">
        <f t="shared" si="93"/>
        <v>-882.24998499999992</v>
      </c>
      <c r="J241" s="89">
        <f t="shared" si="89"/>
        <v>5</v>
      </c>
      <c r="K241" s="89">
        <f t="shared" si="90"/>
        <v>-914.64996499999995</v>
      </c>
      <c r="L241" s="89">
        <f t="shared" si="94"/>
        <v>5</v>
      </c>
      <c r="M241" s="89">
        <f t="shared" si="95"/>
        <v>-848.34998999999993</v>
      </c>
      <c r="N241" s="89"/>
      <c r="O241" s="89"/>
      <c r="P241" s="89"/>
      <c r="Q241" s="89"/>
      <c r="R241" s="89"/>
      <c r="S241" s="89"/>
    </row>
    <row r="242" spans="1:19" hidden="1" x14ac:dyDescent="0.4">
      <c r="A242" s="87" t="s">
        <v>230</v>
      </c>
      <c r="B242" s="88">
        <v>176.86000100000001</v>
      </c>
      <c r="C242" s="88">
        <v>187.520004</v>
      </c>
      <c r="D242" s="88">
        <v>175.78999300000001</v>
      </c>
      <c r="E242" s="88">
        <v>186.64999399999999</v>
      </c>
      <c r="F242" s="89">
        <f t="shared" si="91"/>
        <v>5</v>
      </c>
      <c r="G242" s="89">
        <f t="shared" si="88"/>
        <v>-884.30000500000006</v>
      </c>
      <c r="H242" s="89">
        <f t="shared" si="92"/>
        <v>5</v>
      </c>
      <c r="I242" s="89">
        <f t="shared" si="93"/>
        <v>-933.24996999999996</v>
      </c>
      <c r="J242" s="89">
        <f t="shared" si="89"/>
        <v>5</v>
      </c>
      <c r="K242" s="89">
        <f t="shared" si="90"/>
        <v>-937.60001999999997</v>
      </c>
      <c r="L242" s="89">
        <f t="shared" si="94"/>
        <v>5</v>
      </c>
      <c r="M242" s="89">
        <f t="shared" si="95"/>
        <v>-878.94996500000002</v>
      </c>
      <c r="N242" s="89"/>
      <c r="O242" s="89"/>
      <c r="P242" s="89"/>
      <c r="Q242" s="89"/>
      <c r="R242" s="89"/>
      <c r="S242" s="89"/>
    </row>
    <row r="243" spans="1:19" hidden="1" x14ac:dyDescent="0.4">
      <c r="A243" s="87" t="s">
        <v>231</v>
      </c>
      <c r="B243" s="88">
        <v>186.08000200000001</v>
      </c>
      <c r="C243" s="88">
        <v>186.490005</v>
      </c>
      <c r="D243" s="88">
        <v>180.44000199999999</v>
      </c>
      <c r="E243" s="88">
        <v>185.78999300000001</v>
      </c>
      <c r="F243" s="89">
        <f t="shared" si="91"/>
        <v>5</v>
      </c>
      <c r="G243" s="89">
        <f t="shared" si="88"/>
        <v>-930.40001000000007</v>
      </c>
      <c r="H243" s="89">
        <f t="shared" si="92"/>
        <v>5</v>
      </c>
      <c r="I243" s="89">
        <f t="shared" si="93"/>
        <v>-928.94996500000002</v>
      </c>
      <c r="J243" s="89">
        <f t="shared" si="89"/>
        <v>5</v>
      </c>
      <c r="K243" s="89">
        <f t="shared" si="90"/>
        <v>-932.45002499999998</v>
      </c>
      <c r="L243" s="89">
        <f t="shared" si="94"/>
        <v>5</v>
      </c>
      <c r="M243" s="89">
        <f t="shared" si="95"/>
        <v>-902.20001000000002</v>
      </c>
      <c r="N243" s="89"/>
      <c r="O243" s="89"/>
      <c r="P243" s="89"/>
      <c r="Q243" s="89"/>
      <c r="R243" s="89"/>
      <c r="S243" s="89"/>
    </row>
    <row r="244" spans="1:19" hidden="1" x14ac:dyDescent="0.4">
      <c r="A244" s="87" t="s">
        <v>232</v>
      </c>
      <c r="B244" s="88">
        <v>186.86999499999999</v>
      </c>
      <c r="C244" s="88">
        <v>187.529999</v>
      </c>
      <c r="D244" s="88">
        <v>160.08999600000001</v>
      </c>
      <c r="E244" s="88">
        <v>169.820007</v>
      </c>
      <c r="F244" s="89">
        <f t="shared" si="91"/>
        <v>5</v>
      </c>
      <c r="G244" s="89">
        <f t="shared" si="88"/>
        <v>-934.34997499999997</v>
      </c>
      <c r="H244" s="89">
        <f t="shared" si="92"/>
        <v>5</v>
      </c>
      <c r="I244" s="89">
        <f t="shared" si="93"/>
        <v>-849.10003500000005</v>
      </c>
      <c r="J244" s="89">
        <f t="shared" si="89"/>
        <v>5</v>
      </c>
      <c r="K244" s="89">
        <f t="shared" si="90"/>
        <v>-937.64999499999999</v>
      </c>
      <c r="L244" s="89">
        <f t="shared" si="94"/>
        <v>6</v>
      </c>
      <c r="M244" s="89">
        <f t="shared" si="95"/>
        <v>-960.53997600000002</v>
      </c>
      <c r="N244" s="89"/>
      <c r="O244" s="89"/>
      <c r="P244" s="89"/>
      <c r="Q244" s="89"/>
      <c r="R244" s="89"/>
      <c r="S244" s="89"/>
    </row>
    <row r="245" spans="1:19" hidden="1" x14ac:dyDescent="0.4">
      <c r="A245" s="87" t="s">
        <v>233</v>
      </c>
      <c r="B245" s="88">
        <v>170.070007</v>
      </c>
      <c r="C245" s="88">
        <v>175.58000200000001</v>
      </c>
      <c r="D245" s="88">
        <v>157.13000500000001</v>
      </c>
      <c r="E245" s="88">
        <v>169.36999499999999</v>
      </c>
      <c r="F245" s="89">
        <f t="shared" si="91"/>
        <v>5</v>
      </c>
      <c r="G245" s="89">
        <f t="shared" si="88"/>
        <v>-850.35003500000005</v>
      </c>
      <c r="H245" s="89">
        <f t="shared" si="92"/>
        <v>5</v>
      </c>
      <c r="I245" s="89">
        <f t="shared" si="93"/>
        <v>-846.84997499999997</v>
      </c>
      <c r="J245" s="89">
        <f t="shared" si="89"/>
        <v>5</v>
      </c>
      <c r="K245" s="89">
        <f t="shared" si="90"/>
        <v>-877.90001000000007</v>
      </c>
      <c r="L245" s="89">
        <f t="shared" si="94"/>
        <v>6</v>
      </c>
      <c r="M245" s="89">
        <f t="shared" si="95"/>
        <v>-942.78003000000012</v>
      </c>
      <c r="N245" s="89"/>
      <c r="O245" s="89"/>
      <c r="P245" s="89"/>
      <c r="Q245" s="89"/>
      <c r="R245" s="89"/>
      <c r="S245" s="89"/>
    </row>
    <row r="246" spans="1:19" hidden="1" x14ac:dyDescent="0.4">
      <c r="A246" s="87" t="s">
        <v>234</v>
      </c>
      <c r="B246" s="88">
        <v>173.11000100000001</v>
      </c>
      <c r="C246" s="88">
        <v>173.30999800000001</v>
      </c>
      <c r="D246" s="88">
        <v>143.46000699999999</v>
      </c>
      <c r="E246" s="88">
        <v>154.259995</v>
      </c>
      <c r="F246" s="89">
        <f t="shared" si="91"/>
        <v>5</v>
      </c>
      <c r="G246" s="89">
        <f t="shared" si="88"/>
        <v>-865.55000500000006</v>
      </c>
      <c r="H246" s="89">
        <f t="shared" si="92"/>
        <v>6</v>
      </c>
      <c r="I246" s="89">
        <f t="shared" si="93"/>
        <v>-925.55997000000002</v>
      </c>
      <c r="J246" s="89">
        <f t="shared" si="89"/>
        <v>5</v>
      </c>
      <c r="K246" s="89">
        <f t="shared" si="90"/>
        <v>-866.54998999999998</v>
      </c>
      <c r="L246" s="89">
        <f t="shared" si="94"/>
        <v>6</v>
      </c>
      <c r="M246" s="89">
        <f t="shared" si="95"/>
        <v>-860.76004199999988</v>
      </c>
      <c r="N246" s="89"/>
      <c r="O246" s="89"/>
      <c r="P246" s="89"/>
      <c r="Q246" s="89"/>
      <c r="R246" s="89"/>
      <c r="S246" s="89"/>
    </row>
    <row r="247" spans="1:19" hidden="1" x14ac:dyDescent="0.4">
      <c r="A247" s="87" t="s">
        <v>235</v>
      </c>
      <c r="B247" s="88">
        <v>150.990005</v>
      </c>
      <c r="C247" s="88">
        <v>168.990005</v>
      </c>
      <c r="D247" s="88">
        <v>149.490005</v>
      </c>
      <c r="E247" s="88">
        <v>168.16000399999999</v>
      </c>
      <c r="F247" s="89">
        <f t="shared" si="91"/>
        <v>6</v>
      </c>
      <c r="G247" s="89">
        <f t="shared" si="88"/>
        <v>-905.94002999999998</v>
      </c>
      <c r="H247" s="89">
        <f t="shared" si="92"/>
        <v>5</v>
      </c>
      <c r="I247" s="89">
        <f t="shared" si="93"/>
        <v>-840.8000199999999</v>
      </c>
      <c r="J247" s="89">
        <f t="shared" si="89"/>
        <v>5</v>
      </c>
      <c r="K247" s="89">
        <f t="shared" si="90"/>
        <v>-844.95002499999998</v>
      </c>
      <c r="L247" s="89">
        <f t="shared" si="94"/>
        <v>6</v>
      </c>
      <c r="M247" s="89">
        <f t="shared" si="95"/>
        <v>-896.94002999999998</v>
      </c>
      <c r="N247" s="89"/>
      <c r="O247" s="89"/>
      <c r="P247" s="89"/>
      <c r="Q247" s="89"/>
      <c r="R247" s="89"/>
      <c r="S247" s="89"/>
    </row>
    <row r="248" spans="1:19" hidden="1" x14ac:dyDescent="0.4">
      <c r="A248" s="87" t="s">
        <v>236</v>
      </c>
      <c r="B248" s="88">
        <v>167.33000200000001</v>
      </c>
      <c r="C248" s="88">
        <v>174.66000399999999</v>
      </c>
      <c r="D248" s="88">
        <v>166.570007</v>
      </c>
      <c r="E248" s="88">
        <v>173.19000199999999</v>
      </c>
      <c r="F248" s="89">
        <f t="shared" si="91"/>
        <v>5</v>
      </c>
      <c r="G248" s="89">
        <f t="shared" si="88"/>
        <v>-836.65001000000007</v>
      </c>
      <c r="H248" s="89">
        <f t="shared" si="92"/>
        <v>5</v>
      </c>
      <c r="I248" s="89">
        <f t="shared" si="93"/>
        <v>-865.95001000000002</v>
      </c>
      <c r="J248" s="89">
        <f t="shared" si="89"/>
        <v>5</v>
      </c>
      <c r="K248" s="89">
        <f t="shared" si="90"/>
        <v>-873.3000199999999</v>
      </c>
      <c r="L248" s="89">
        <f t="shared" si="94"/>
        <v>6</v>
      </c>
      <c r="M248" s="89">
        <f t="shared" si="95"/>
        <v>-999.42004199999997</v>
      </c>
      <c r="N248" s="89"/>
      <c r="O248" s="89"/>
      <c r="P248" s="89"/>
      <c r="Q248" s="89"/>
      <c r="R248" s="89"/>
      <c r="S248" s="89"/>
    </row>
    <row r="249" spans="1:19" hidden="1" x14ac:dyDescent="0.4">
      <c r="A249" s="87" t="s">
        <v>237</v>
      </c>
      <c r="B249" s="88">
        <v>174.44000199999999</v>
      </c>
      <c r="C249" s="88">
        <v>182.83000200000001</v>
      </c>
      <c r="D249" s="88">
        <v>169.33999600000001</v>
      </c>
      <c r="E249" s="88">
        <v>179.66000399999999</v>
      </c>
      <c r="F249" s="89">
        <f t="shared" si="91"/>
        <v>5</v>
      </c>
      <c r="G249" s="89">
        <f t="shared" si="88"/>
        <v>-872.20001000000002</v>
      </c>
      <c r="H249" s="89">
        <f t="shared" si="92"/>
        <v>5</v>
      </c>
      <c r="I249" s="89">
        <f t="shared" si="93"/>
        <v>-898.3000199999999</v>
      </c>
      <c r="J249" s="89">
        <f t="shared" si="89"/>
        <v>5</v>
      </c>
      <c r="K249" s="89">
        <f t="shared" si="90"/>
        <v>-914.15001000000007</v>
      </c>
      <c r="L249" s="89">
        <f t="shared" si="94"/>
        <v>5</v>
      </c>
      <c r="M249" s="89">
        <f t="shared" si="95"/>
        <v>-846.6999800000001</v>
      </c>
      <c r="N249" s="89"/>
      <c r="O249" s="89"/>
      <c r="P249" s="89"/>
      <c r="Q249" s="89"/>
      <c r="R249" s="89"/>
      <c r="S249" s="89"/>
    </row>
    <row r="250" spans="1:19" hidden="1" x14ac:dyDescent="0.4">
      <c r="A250" s="87" t="s">
        <v>238</v>
      </c>
      <c r="B250" s="88">
        <v>181.509995</v>
      </c>
      <c r="C250" s="88">
        <v>191.320007</v>
      </c>
      <c r="D250" s="88">
        <v>180.770004</v>
      </c>
      <c r="E250" s="88">
        <v>189.53999300000001</v>
      </c>
      <c r="F250" s="89">
        <f t="shared" si="91"/>
        <v>5</v>
      </c>
      <c r="G250" s="89">
        <f t="shared" si="88"/>
        <v>-907.54997500000002</v>
      </c>
      <c r="H250" s="89">
        <f t="shared" si="92"/>
        <v>5</v>
      </c>
      <c r="I250" s="89">
        <f t="shared" si="93"/>
        <v>-947.69996500000002</v>
      </c>
      <c r="J250" s="89">
        <f t="shared" si="89"/>
        <v>5</v>
      </c>
      <c r="K250" s="89">
        <f t="shared" si="90"/>
        <v>-956.60003500000005</v>
      </c>
      <c r="L250" s="89">
        <f t="shared" si="94"/>
        <v>5</v>
      </c>
      <c r="M250" s="89">
        <f t="shared" si="95"/>
        <v>-903.85001999999997</v>
      </c>
      <c r="N250" s="89"/>
      <c r="O250" s="89"/>
      <c r="P250" s="89"/>
      <c r="Q250" s="89"/>
      <c r="R250" s="89"/>
      <c r="S250" s="89"/>
    </row>
    <row r="251" spans="1:19" hidden="1" x14ac:dyDescent="0.4">
      <c r="A251" s="87" t="s">
        <v>239</v>
      </c>
      <c r="B251" s="88">
        <v>190.779999</v>
      </c>
      <c r="C251" s="88">
        <v>191.320007</v>
      </c>
      <c r="D251" s="88">
        <v>173.86999499999999</v>
      </c>
      <c r="E251" s="88">
        <v>173.949997</v>
      </c>
      <c r="F251" s="89">
        <f t="shared" si="91"/>
        <v>5</v>
      </c>
      <c r="G251" s="89">
        <f t="shared" si="88"/>
        <v>-953.89999499999999</v>
      </c>
      <c r="H251" s="89">
        <f t="shared" si="92"/>
        <v>5</v>
      </c>
      <c r="I251" s="89">
        <f t="shared" si="93"/>
        <v>-869.74998499999992</v>
      </c>
      <c r="J251" s="89">
        <f t="shared" si="89"/>
        <v>5</v>
      </c>
      <c r="K251" s="89">
        <f t="shared" si="90"/>
        <v>-956.60003500000005</v>
      </c>
      <c r="L251" s="89">
        <f t="shared" si="94"/>
        <v>5</v>
      </c>
      <c r="M251" s="89">
        <f t="shared" si="95"/>
        <v>-869.34997499999997</v>
      </c>
      <c r="N251" s="89"/>
      <c r="O251" s="89"/>
      <c r="P251" s="89">
        <f t="shared" ref="P251" si="108">INT(P$1/MAX(C240:C251))</f>
        <v>62</v>
      </c>
      <c r="Q251" s="89">
        <f t="shared" ref="Q251" si="109">P251*-MAX(C240:C251)</f>
        <v>-11861.840434</v>
      </c>
      <c r="R251" s="89">
        <f t="shared" ref="R251" si="110">INT(R$1/MIN(D240:D251))</f>
        <v>83</v>
      </c>
      <c r="S251" s="89">
        <f t="shared" ref="S251" si="111">R251*-MIN(D240:D251)</f>
        <v>-11907.180580999999</v>
      </c>
    </row>
    <row r="252" spans="1:19" hidden="1" x14ac:dyDescent="0.4">
      <c r="A252" s="87" t="s">
        <v>240</v>
      </c>
      <c r="B252" s="88">
        <v>173.479996</v>
      </c>
      <c r="C252" s="88">
        <v>189.770004</v>
      </c>
      <c r="D252" s="88">
        <v>169.270004</v>
      </c>
      <c r="E252" s="88">
        <v>186.740005</v>
      </c>
      <c r="F252" s="89">
        <f t="shared" si="91"/>
        <v>5</v>
      </c>
      <c r="G252" s="89">
        <f t="shared" si="88"/>
        <v>-867.39998000000003</v>
      </c>
      <c r="H252" s="89">
        <f t="shared" si="92"/>
        <v>5</v>
      </c>
      <c r="I252" s="89">
        <f t="shared" si="93"/>
        <v>-933.70002499999998</v>
      </c>
      <c r="J252" s="89">
        <f t="shared" si="89"/>
        <v>5</v>
      </c>
      <c r="K252" s="89">
        <f t="shared" si="90"/>
        <v>-948.85001999999997</v>
      </c>
      <c r="L252" s="89">
        <f t="shared" si="94"/>
        <v>5</v>
      </c>
      <c r="M252" s="89">
        <f t="shared" si="95"/>
        <v>-846.35001999999997</v>
      </c>
      <c r="N252" s="89"/>
      <c r="O252" s="89"/>
      <c r="P252" s="89"/>
      <c r="Q252" s="89"/>
      <c r="R252" s="89"/>
      <c r="S252" s="89"/>
    </row>
    <row r="253" spans="1:19" hidden="1" x14ac:dyDescent="0.4">
      <c r="A253" s="87" t="s">
        <v>241</v>
      </c>
      <c r="B253" s="88">
        <v>190.320007</v>
      </c>
      <c r="C253" s="88">
        <v>195.550003</v>
      </c>
      <c r="D253" s="88">
        <v>188.38000500000001</v>
      </c>
      <c r="E253" s="88">
        <v>191.10000600000001</v>
      </c>
      <c r="F253" s="89">
        <f t="shared" si="91"/>
        <v>5</v>
      </c>
      <c r="G253" s="89">
        <f t="shared" si="88"/>
        <v>-951.60003500000005</v>
      </c>
      <c r="H253" s="89">
        <f t="shared" si="92"/>
        <v>5</v>
      </c>
      <c r="I253" s="89">
        <f t="shared" si="93"/>
        <v>-955.50003000000004</v>
      </c>
      <c r="J253" s="89">
        <f t="shared" si="89"/>
        <v>5</v>
      </c>
      <c r="K253" s="89">
        <f t="shared" si="90"/>
        <v>-977.75001500000008</v>
      </c>
      <c r="L253" s="89">
        <f t="shared" si="94"/>
        <v>5</v>
      </c>
      <c r="M253" s="89">
        <f t="shared" si="95"/>
        <v>-941.90002500000003</v>
      </c>
      <c r="N253" s="89"/>
      <c r="O253" s="89"/>
      <c r="P253" s="89"/>
      <c r="Q253" s="89"/>
      <c r="R253" s="89"/>
      <c r="S253" s="89"/>
    </row>
    <row r="254" spans="1:19" hidden="1" x14ac:dyDescent="0.4">
      <c r="A254" s="87" t="s">
        <v>242</v>
      </c>
      <c r="B254" s="88">
        <v>191.429993</v>
      </c>
      <c r="C254" s="88">
        <v>194.979996</v>
      </c>
      <c r="D254" s="88">
        <v>179.199997</v>
      </c>
      <c r="E254" s="88">
        <v>187.470001</v>
      </c>
      <c r="F254" s="89">
        <f t="shared" si="91"/>
        <v>5</v>
      </c>
      <c r="G254" s="89">
        <f t="shared" si="88"/>
        <v>-957.14996499999995</v>
      </c>
      <c r="H254" s="89">
        <f t="shared" si="92"/>
        <v>5</v>
      </c>
      <c r="I254" s="89">
        <f t="shared" si="93"/>
        <v>-937.35000500000001</v>
      </c>
      <c r="J254" s="89">
        <f t="shared" si="89"/>
        <v>5</v>
      </c>
      <c r="K254" s="89">
        <f t="shared" si="90"/>
        <v>-974.89998000000003</v>
      </c>
      <c r="L254" s="89">
        <f t="shared" si="94"/>
        <v>5</v>
      </c>
      <c r="M254" s="89">
        <f t="shared" si="95"/>
        <v>-895.99998499999992</v>
      </c>
      <c r="N254" s="89"/>
      <c r="O254" s="89"/>
      <c r="P254" s="89"/>
      <c r="Q254" s="89"/>
      <c r="R254" s="89"/>
      <c r="S254" s="89"/>
    </row>
    <row r="255" spans="1:19" hidden="1" x14ac:dyDescent="0.4">
      <c r="A255" s="87" t="s">
        <v>243</v>
      </c>
      <c r="B255" s="88">
        <v>186.220001</v>
      </c>
      <c r="C255" s="88">
        <v>194.71000699999999</v>
      </c>
      <c r="D255" s="88">
        <v>185.029999</v>
      </c>
      <c r="E255" s="88">
        <v>188.80999800000001</v>
      </c>
      <c r="F255" s="89">
        <f t="shared" si="91"/>
        <v>5</v>
      </c>
      <c r="G255" s="89">
        <f t="shared" si="88"/>
        <v>-931.10000500000001</v>
      </c>
      <c r="H255" s="89">
        <f t="shared" si="92"/>
        <v>5</v>
      </c>
      <c r="I255" s="89">
        <f t="shared" si="93"/>
        <v>-944.04998999999998</v>
      </c>
      <c r="J255" s="89">
        <f t="shared" si="89"/>
        <v>5</v>
      </c>
      <c r="K255" s="89">
        <f t="shared" si="90"/>
        <v>-973.55003499999998</v>
      </c>
      <c r="L255" s="89">
        <f t="shared" si="94"/>
        <v>5</v>
      </c>
      <c r="M255" s="89">
        <f t="shared" si="95"/>
        <v>-925.14999499999999</v>
      </c>
      <c r="N255" s="89"/>
      <c r="O255" s="89"/>
      <c r="P255" s="89"/>
      <c r="Q255" s="89"/>
      <c r="R255" s="89"/>
      <c r="S255" s="89"/>
    </row>
    <row r="256" spans="1:19" hidden="1" x14ac:dyDescent="0.4">
      <c r="A256" s="87" t="s">
        <v>244</v>
      </c>
      <c r="B256" s="88">
        <v>189.5</v>
      </c>
      <c r="C256" s="88">
        <v>197.83000200000001</v>
      </c>
      <c r="D256" s="88">
        <v>181.820007</v>
      </c>
      <c r="E256" s="88">
        <v>197.08000200000001</v>
      </c>
      <c r="F256" s="89">
        <f t="shared" si="91"/>
        <v>5</v>
      </c>
      <c r="G256" s="89">
        <f t="shared" si="88"/>
        <v>-947.5</v>
      </c>
      <c r="H256" s="89">
        <f t="shared" si="92"/>
        <v>5</v>
      </c>
      <c r="I256" s="89">
        <f t="shared" si="93"/>
        <v>-985.40001000000007</v>
      </c>
      <c r="J256" s="89">
        <f t="shared" si="89"/>
        <v>5</v>
      </c>
      <c r="K256" s="89">
        <f t="shared" si="90"/>
        <v>-989.15001000000007</v>
      </c>
      <c r="L256" s="89">
        <f t="shared" si="94"/>
        <v>5</v>
      </c>
      <c r="M256" s="89">
        <f t="shared" si="95"/>
        <v>-909.10003500000005</v>
      </c>
      <c r="N256" s="89"/>
      <c r="O256" s="89"/>
      <c r="P256" s="89"/>
      <c r="Q256" s="89"/>
      <c r="R256" s="89"/>
      <c r="S256" s="89"/>
    </row>
    <row r="257" spans="1:19" hidden="1" x14ac:dyDescent="0.4">
      <c r="A257" s="87" t="s">
        <v>245</v>
      </c>
      <c r="B257" s="88">
        <v>197.929993</v>
      </c>
      <c r="C257" s="88">
        <v>206.050003</v>
      </c>
      <c r="D257" s="88">
        <v>197.63000500000001</v>
      </c>
      <c r="E257" s="88">
        <v>205.10000600000001</v>
      </c>
      <c r="F257" s="89">
        <f t="shared" si="91"/>
        <v>5</v>
      </c>
      <c r="G257" s="89">
        <f t="shared" si="88"/>
        <v>-989.64996499999995</v>
      </c>
      <c r="H257" s="89">
        <f t="shared" si="92"/>
        <v>4</v>
      </c>
      <c r="I257" s="89">
        <f t="shared" si="93"/>
        <v>-820.40002400000003</v>
      </c>
      <c r="J257" s="89">
        <f t="shared" si="89"/>
        <v>4</v>
      </c>
      <c r="K257" s="89">
        <f t="shared" si="90"/>
        <v>-824.20001200000002</v>
      </c>
      <c r="L257" s="89">
        <f t="shared" si="94"/>
        <v>5</v>
      </c>
      <c r="M257" s="89">
        <f t="shared" si="95"/>
        <v>-988.15002500000003</v>
      </c>
      <c r="N257" s="89"/>
      <c r="O257" s="89"/>
      <c r="P257" s="89"/>
      <c r="Q257" s="89"/>
      <c r="R257" s="89"/>
      <c r="S257" s="89"/>
    </row>
    <row r="258" spans="1:19" hidden="1" x14ac:dyDescent="0.4">
      <c r="A258" s="87" t="s">
        <v>246</v>
      </c>
      <c r="B258" s="88">
        <v>205.11000100000001</v>
      </c>
      <c r="C258" s="88">
        <v>214.55999800000001</v>
      </c>
      <c r="D258" s="88">
        <v>199.229996</v>
      </c>
      <c r="E258" s="88">
        <v>212.61000100000001</v>
      </c>
      <c r="F258" s="89">
        <f t="shared" si="91"/>
        <v>4</v>
      </c>
      <c r="G258" s="89">
        <f t="shared" si="88"/>
        <v>-820.44000400000004</v>
      </c>
      <c r="H258" s="89">
        <f t="shared" si="92"/>
        <v>4</v>
      </c>
      <c r="I258" s="89">
        <f t="shared" si="93"/>
        <v>-850.44000400000004</v>
      </c>
      <c r="J258" s="89">
        <f t="shared" si="89"/>
        <v>4</v>
      </c>
      <c r="K258" s="89">
        <f t="shared" si="90"/>
        <v>-858.23999200000003</v>
      </c>
      <c r="L258" s="89">
        <f t="shared" si="94"/>
        <v>5</v>
      </c>
      <c r="M258" s="89">
        <f t="shared" si="95"/>
        <v>-996.14998000000003</v>
      </c>
      <c r="N258" s="89"/>
      <c r="O258" s="89"/>
      <c r="P258" s="89"/>
      <c r="Q258" s="89"/>
      <c r="R258" s="89"/>
      <c r="S258" s="89"/>
    </row>
    <row r="259" spans="1:19" hidden="1" x14ac:dyDescent="0.4">
      <c r="A259" s="87" t="s">
        <v>247</v>
      </c>
      <c r="B259" s="88">
        <v>214.39999399999999</v>
      </c>
      <c r="C259" s="88">
        <v>225.88000500000001</v>
      </c>
      <c r="D259" s="88">
        <v>212.240005</v>
      </c>
      <c r="E259" s="88">
        <v>219.070007</v>
      </c>
      <c r="F259" s="89">
        <f t="shared" si="91"/>
        <v>4</v>
      </c>
      <c r="G259" s="89">
        <f t="shared" si="88"/>
        <v>-857.59997599999997</v>
      </c>
      <c r="H259" s="89">
        <f t="shared" si="92"/>
        <v>4</v>
      </c>
      <c r="I259" s="89">
        <f t="shared" si="93"/>
        <v>-876.28002800000002</v>
      </c>
      <c r="J259" s="89">
        <f t="shared" si="89"/>
        <v>4</v>
      </c>
      <c r="K259" s="89">
        <f t="shared" si="90"/>
        <v>-903.52002000000005</v>
      </c>
      <c r="L259" s="89">
        <f t="shared" si="94"/>
        <v>4</v>
      </c>
      <c r="M259" s="89">
        <f t="shared" si="95"/>
        <v>-848.96001999999999</v>
      </c>
      <c r="N259" s="89"/>
      <c r="O259" s="89"/>
      <c r="P259" s="89"/>
      <c r="Q259" s="89"/>
      <c r="R259" s="89"/>
      <c r="S259" s="89"/>
    </row>
    <row r="260" spans="1:19" hidden="1" x14ac:dyDescent="0.4">
      <c r="A260" s="87" t="s">
        <v>248</v>
      </c>
      <c r="B260" s="88">
        <v>220.13999899999999</v>
      </c>
      <c r="C260" s="88">
        <v>237.470001</v>
      </c>
      <c r="D260" s="88">
        <v>198.16999799999999</v>
      </c>
      <c r="E260" s="88">
        <v>205.800003</v>
      </c>
      <c r="F260" s="89">
        <f t="shared" si="91"/>
        <v>4</v>
      </c>
      <c r="G260" s="89">
        <f t="shared" si="88"/>
        <v>-880.55999599999996</v>
      </c>
      <c r="H260" s="89">
        <f t="shared" si="92"/>
        <v>4</v>
      </c>
      <c r="I260" s="89">
        <f t="shared" si="93"/>
        <v>-823.20001200000002</v>
      </c>
      <c r="J260" s="89">
        <f t="shared" si="89"/>
        <v>4</v>
      </c>
      <c r="K260" s="89">
        <f t="shared" si="90"/>
        <v>-949.88000399999999</v>
      </c>
      <c r="L260" s="89">
        <f t="shared" si="94"/>
        <v>5</v>
      </c>
      <c r="M260" s="89">
        <f t="shared" si="95"/>
        <v>-990.84998999999993</v>
      </c>
      <c r="N260" s="89"/>
      <c r="O260" s="89"/>
      <c r="P260" s="89"/>
      <c r="Q260" s="89"/>
      <c r="R260" s="89"/>
      <c r="S260" s="89"/>
    </row>
    <row r="261" spans="1:19" hidden="1" x14ac:dyDescent="0.4">
      <c r="A261" s="87" t="s">
        <v>249</v>
      </c>
      <c r="B261" s="88">
        <v>208.88000500000001</v>
      </c>
      <c r="C261" s="88">
        <v>219.61000100000001</v>
      </c>
      <c r="D261" s="88">
        <v>164.929993</v>
      </c>
      <c r="E261" s="88">
        <v>190.39999399999999</v>
      </c>
      <c r="F261" s="89">
        <f t="shared" si="91"/>
        <v>4</v>
      </c>
      <c r="G261" s="89">
        <f t="shared" si="88"/>
        <v>-835.52002000000005</v>
      </c>
      <c r="H261" s="89">
        <f t="shared" si="92"/>
        <v>5</v>
      </c>
      <c r="I261" s="89">
        <f t="shared" si="93"/>
        <v>-951.99996999999996</v>
      </c>
      <c r="J261" s="89">
        <f t="shared" si="89"/>
        <v>4</v>
      </c>
      <c r="K261" s="89">
        <f t="shared" si="90"/>
        <v>-878.44000400000004</v>
      </c>
      <c r="L261" s="89">
        <f t="shared" si="94"/>
        <v>6</v>
      </c>
      <c r="M261" s="89">
        <f t="shared" si="95"/>
        <v>-989.57995800000003</v>
      </c>
      <c r="N261" s="89"/>
      <c r="O261" s="89"/>
      <c r="P261" s="89"/>
      <c r="Q261" s="89"/>
      <c r="R261" s="89"/>
      <c r="S261" s="89"/>
    </row>
    <row r="262" spans="1:19" hidden="1" x14ac:dyDescent="0.4">
      <c r="A262" s="87" t="s">
        <v>250</v>
      </c>
      <c r="B262" s="88">
        <v>184.770004</v>
      </c>
      <c r="C262" s="88">
        <v>220.03999300000001</v>
      </c>
      <c r="D262" s="88">
        <v>180.86000100000001</v>
      </c>
      <c r="E262" s="88">
        <v>218.91000399999999</v>
      </c>
      <c r="F262" s="89">
        <f t="shared" si="91"/>
        <v>5</v>
      </c>
      <c r="G262" s="89">
        <f t="shared" si="88"/>
        <v>-923.85001999999997</v>
      </c>
      <c r="H262" s="89">
        <f t="shared" si="92"/>
        <v>4</v>
      </c>
      <c r="I262" s="89">
        <f t="shared" si="93"/>
        <v>-875.64001599999995</v>
      </c>
      <c r="J262" s="89">
        <f t="shared" si="89"/>
        <v>4</v>
      </c>
      <c r="K262" s="89">
        <f t="shared" si="90"/>
        <v>-880.15997200000004</v>
      </c>
      <c r="L262" s="89">
        <f t="shared" si="94"/>
        <v>5</v>
      </c>
      <c r="M262" s="89">
        <f t="shared" si="95"/>
        <v>-904.30000500000006</v>
      </c>
      <c r="N262" s="89"/>
      <c r="O262" s="89"/>
      <c r="P262" s="89"/>
      <c r="Q262" s="89"/>
      <c r="R262" s="89"/>
      <c r="S262" s="89"/>
    </row>
    <row r="263" spans="1:19" hidden="1" x14ac:dyDescent="0.4">
      <c r="A263" s="87" t="s">
        <v>251</v>
      </c>
      <c r="B263" s="88">
        <v>214.5</v>
      </c>
      <c r="C263" s="88">
        <v>233.60000600000001</v>
      </c>
      <c r="D263" s="88">
        <v>211.11999499999999</v>
      </c>
      <c r="E263" s="88">
        <v>233.36000100000001</v>
      </c>
      <c r="F263" s="89">
        <f t="shared" si="91"/>
        <v>4</v>
      </c>
      <c r="G263" s="89">
        <f t="shared" si="88"/>
        <v>-858</v>
      </c>
      <c r="H263" s="89">
        <f t="shared" si="92"/>
        <v>4</v>
      </c>
      <c r="I263" s="89">
        <f t="shared" si="93"/>
        <v>-933.44000400000004</v>
      </c>
      <c r="J263" s="89">
        <f t="shared" si="89"/>
        <v>4</v>
      </c>
      <c r="K263" s="89">
        <f t="shared" si="90"/>
        <v>-934.40002400000003</v>
      </c>
      <c r="L263" s="89">
        <f t="shared" si="94"/>
        <v>4</v>
      </c>
      <c r="M263" s="89">
        <f t="shared" si="95"/>
        <v>-844.47997999999995</v>
      </c>
      <c r="N263" s="89"/>
      <c r="O263" s="89"/>
      <c r="P263" s="89">
        <f t="shared" ref="P263" si="112">INT(P$1/MAX(C252:C263))</f>
        <v>50</v>
      </c>
      <c r="Q263" s="89">
        <f t="shared" ref="Q263" si="113">P263*-MAX(C252:C263)</f>
        <v>-11873.500050000001</v>
      </c>
      <c r="R263" s="89">
        <f t="shared" ref="R263" si="114">INT(R$1/MIN(D252:D263))</f>
        <v>72</v>
      </c>
      <c r="S263" s="89">
        <f t="shared" ref="S263" si="115">R263*-MIN(D252:D263)</f>
        <v>-11874.959495999999</v>
      </c>
    </row>
    <row r="264" spans="1:19" hidden="1" x14ac:dyDescent="0.4">
      <c r="A264" s="87" t="s">
        <v>252</v>
      </c>
      <c r="B264" s="88">
        <v>232.46000699999999</v>
      </c>
      <c r="C264" s="88">
        <v>251.14999399999999</v>
      </c>
      <c r="D264" s="88">
        <v>231.470001</v>
      </c>
      <c r="E264" s="88">
        <v>247.60000600000001</v>
      </c>
      <c r="F264" s="89">
        <f t="shared" si="91"/>
        <v>4</v>
      </c>
      <c r="G264" s="89">
        <f t="shared" si="88"/>
        <v>-929.84002799999996</v>
      </c>
      <c r="H264" s="89">
        <f t="shared" si="92"/>
        <v>4</v>
      </c>
      <c r="I264" s="89">
        <f t="shared" si="93"/>
        <v>-990.40002400000003</v>
      </c>
      <c r="J264" s="89">
        <f t="shared" si="89"/>
        <v>3</v>
      </c>
      <c r="K264" s="89">
        <f t="shared" si="90"/>
        <v>-753.44998199999998</v>
      </c>
      <c r="L264" s="89">
        <f t="shared" si="94"/>
        <v>4</v>
      </c>
      <c r="M264" s="89">
        <f t="shared" si="95"/>
        <v>-925.88000399999999</v>
      </c>
      <c r="N264" s="89"/>
      <c r="O264" s="89"/>
      <c r="P264" s="89"/>
      <c r="Q264" s="89"/>
      <c r="R264" s="89"/>
      <c r="S264" s="89"/>
    </row>
    <row r="265" spans="1:19" hidden="1" x14ac:dyDescent="0.4">
      <c r="A265" s="87" t="s">
        <v>253</v>
      </c>
      <c r="B265" s="88">
        <v>247.63999899999999</v>
      </c>
      <c r="C265" s="88">
        <v>269.790009</v>
      </c>
      <c r="D265" s="88">
        <v>247.08000200000001</v>
      </c>
      <c r="E265" s="88">
        <v>265.790009</v>
      </c>
      <c r="F265" s="89">
        <f t="shared" si="91"/>
        <v>4</v>
      </c>
      <c r="G265" s="89">
        <f t="shared" si="88"/>
        <v>-990.55999599999996</v>
      </c>
      <c r="H265" s="89">
        <f t="shared" si="92"/>
        <v>3</v>
      </c>
      <c r="I265" s="89">
        <f t="shared" si="93"/>
        <v>-797.37002699999994</v>
      </c>
      <c r="J265" s="89">
        <f t="shared" si="89"/>
        <v>3</v>
      </c>
      <c r="K265" s="89">
        <f t="shared" si="90"/>
        <v>-809.37002699999994</v>
      </c>
      <c r="L265" s="89">
        <f t="shared" si="94"/>
        <v>4</v>
      </c>
      <c r="M265" s="89">
        <f t="shared" si="95"/>
        <v>-988.32000800000003</v>
      </c>
      <c r="N265" s="89"/>
      <c r="O265" s="89"/>
      <c r="P265" s="89"/>
      <c r="Q265" s="89"/>
      <c r="R265" s="89"/>
      <c r="S265" s="89"/>
    </row>
    <row r="266" spans="1:19" hidden="1" x14ac:dyDescent="0.4">
      <c r="A266" s="87" t="s">
        <v>254</v>
      </c>
      <c r="B266" s="88">
        <v>268</v>
      </c>
      <c r="C266" s="88">
        <v>296.75</v>
      </c>
      <c r="D266" s="88">
        <v>264.63000499999998</v>
      </c>
      <c r="E266" s="88">
        <v>294.88000499999998</v>
      </c>
      <c r="F266" s="89">
        <f t="shared" si="91"/>
        <v>3</v>
      </c>
      <c r="G266" s="89">
        <f t="shared" si="88"/>
        <v>-804</v>
      </c>
      <c r="H266" s="89">
        <f t="shared" si="92"/>
        <v>3</v>
      </c>
      <c r="I266" s="89">
        <f t="shared" si="93"/>
        <v>-884.64001499999995</v>
      </c>
      <c r="J266" s="89">
        <f t="shared" si="89"/>
        <v>3</v>
      </c>
      <c r="K266" s="89">
        <f t="shared" si="90"/>
        <v>-890.25</v>
      </c>
      <c r="L266" s="89">
        <f t="shared" si="94"/>
        <v>3</v>
      </c>
      <c r="M266" s="89">
        <f t="shared" si="95"/>
        <v>-793.89001499999995</v>
      </c>
      <c r="N266" s="89"/>
      <c r="O266" s="89"/>
      <c r="P266" s="89"/>
      <c r="Q266" s="89"/>
      <c r="R266" s="89"/>
      <c r="S266" s="89"/>
    </row>
    <row r="267" spans="1:19" hidden="1" x14ac:dyDescent="0.4">
      <c r="A267" s="87" t="s">
        <v>255</v>
      </c>
      <c r="B267" s="88">
        <v>297.61999500000002</v>
      </c>
      <c r="C267" s="88">
        <v>303.5</v>
      </c>
      <c r="D267" s="88">
        <v>260.10998499999999</v>
      </c>
      <c r="E267" s="88">
        <v>277.83999599999999</v>
      </c>
      <c r="F267" s="89">
        <f t="shared" si="91"/>
        <v>3</v>
      </c>
      <c r="G267" s="89">
        <f t="shared" si="88"/>
        <v>-892.85998500000005</v>
      </c>
      <c r="H267" s="89">
        <f t="shared" si="92"/>
        <v>3</v>
      </c>
      <c r="I267" s="89">
        <f t="shared" si="93"/>
        <v>-833.51998800000001</v>
      </c>
      <c r="J267" s="89">
        <f t="shared" si="89"/>
        <v>3</v>
      </c>
      <c r="K267" s="89">
        <f t="shared" si="90"/>
        <v>-910.5</v>
      </c>
      <c r="L267" s="89">
        <f t="shared" si="94"/>
        <v>3</v>
      </c>
      <c r="M267" s="89">
        <f t="shared" si="95"/>
        <v>-780.32995499999993</v>
      </c>
      <c r="N267" s="89"/>
      <c r="O267" s="89"/>
      <c r="P267" s="89"/>
      <c r="Q267" s="89"/>
      <c r="R267" s="89"/>
      <c r="S267" s="89"/>
    </row>
    <row r="268" spans="1:19" hidden="1" x14ac:dyDescent="0.4">
      <c r="A268" s="87" t="s">
        <v>256</v>
      </c>
      <c r="B268" s="88">
        <v>281.790009</v>
      </c>
      <c r="C268" s="88">
        <v>297.459991</v>
      </c>
      <c r="D268" s="88">
        <v>267.07000699999998</v>
      </c>
      <c r="E268" s="88">
        <v>269.38000499999998</v>
      </c>
      <c r="F268" s="89">
        <f t="shared" si="91"/>
        <v>3</v>
      </c>
      <c r="G268" s="89">
        <f t="shared" ref="G268:G311" si="116">-F268*B268</f>
        <v>-845.37002699999994</v>
      </c>
      <c r="H268" s="89">
        <f t="shared" si="92"/>
        <v>3</v>
      </c>
      <c r="I268" s="89">
        <f t="shared" si="93"/>
        <v>-808.14001499999995</v>
      </c>
      <c r="J268" s="89">
        <f t="shared" ref="J268:J311" si="117">INT(J$1/$C268)</f>
        <v>3</v>
      </c>
      <c r="K268" s="89">
        <f t="shared" ref="K268:K311" si="118">-J268*$C268</f>
        <v>-892.37997300000006</v>
      </c>
      <c r="L268" s="89">
        <f t="shared" si="94"/>
        <v>3</v>
      </c>
      <c r="M268" s="89">
        <f t="shared" si="95"/>
        <v>-801.21002099999987</v>
      </c>
      <c r="N268" s="89"/>
      <c r="O268" s="89"/>
      <c r="P268" s="89"/>
      <c r="Q268" s="89"/>
      <c r="R268" s="89"/>
      <c r="S268" s="89"/>
    </row>
    <row r="269" spans="1:19" hidden="1" x14ac:dyDescent="0.4">
      <c r="A269" s="87" t="s">
        <v>257</v>
      </c>
      <c r="B269" s="88">
        <v>271.85000600000001</v>
      </c>
      <c r="C269" s="88">
        <v>300.17001299999998</v>
      </c>
      <c r="D269" s="88">
        <v>266.97000100000002</v>
      </c>
      <c r="E269" s="88">
        <v>299.61999500000002</v>
      </c>
      <c r="F269" s="89">
        <f t="shared" ref="F269:F312" si="119">INT(F$1/$B269)</f>
        <v>3</v>
      </c>
      <c r="G269" s="89">
        <f t="shared" si="116"/>
        <v>-815.55001800000002</v>
      </c>
      <c r="H269" s="89">
        <f t="shared" ref="H269:H312" si="120">INT(H$1/$E269)</f>
        <v>3</v>
      </c>
      <c r="I269" s="89">
        <f t="shared" ref="I269:I312" si="121">-H269*$E269</f>
        <v>-898.85998500000005</v>
      </c>
      <c r="J269" s="89">
        <f t="shared" si="117"/>
        <v>3</v>
      </c>
      <c r="K269" s="89">
        <f t="shared" si="118"/>
        <v>-900.51003900000001</v>
      </c>
      <c r="L269" s="89">
        <f t="shared" ref="L269:L312" si="122">INT(L$1/$D269)</f>
        <v>3</v>
      </c>
      <c r="M269" s="89">
        <f t="shared" ref="M269:M312" si="123">-L269*$D269</f>
        <v>-800.91000300000007</v>
      </c>
      <c r="N269" s="89"/>
      <c r="O269" s="89"/>
      <c r="P269" s="89"/>
      <c r="Q269" s="89"/>
      <c r="R269" s="89"/>
      <c r="S269" s="89"/>
    </row>
    <row r="270" spans="1:19" hidden="1" x14ac:dyDescent="0.4">
      <c r="A270" s="87" t="s">
        <v>258</v>
      </c>
      <c r="B270" s="88">
        <v>301.97000100000002</v>
      </c>
      <c r="C270" s="88">
        <v>314.69000199999999</v>
      </c>
      <c r="D270" s="88">
        <v>298.08999599999999</v>
      </c>
      <c r="E270" s="88">
        <v>313.73998999999998</v>
      </c>
      <c r="F270" s="89">
        <f t="shared" si="119"/>
        <v>3</v>
      </c>
      <c r="G270" s="89">
        <f t="shared" si="116"/>
        <v>-905.91000300000007</v>
      </c>
      <c r="H270" s="89">
        <f t="shared" si="120"/>
        <v>3</v>
      </c>
      <c r="I270" s="89">
        <f t="shared" si="121"/>
        <v>-941.21996999999988</v>
      </c>
      <c r="J270" s="89">
        <f t="shared" si="117"/>
        <v>3</v>
      </c>
      <c r="K270" s="89">
        <f t="shared" si="118"/>
        <v>-944.07000599999992</v>
      </c>
      <c r="L270" s="89">
        <f t="shared" si="122"/>
        <v>3</v>
      </c>
      <c r="M270" s="89">
        <f t="shared" si="123"/>
        <v>-894.26998800000001</v>
      </c>
      <c r="N270" s="89"/>
      <c r="O270" s="89"/>
      <c r="P270" s="89"/>
      <c r="Q270" s="89"/>
      <c r="R270" s="89"/>
      <c r="S270" s="89"/>
    </row>
    <row r="271" spans="1:19" hidden="1" x14ac:dyDescent="0.4">
      <c r="A271" s="87" t="s">
        <v>259</v>
      </c>
      <c r="B271" s="88">
        <v>315.10998499999999</v>
      </c>
      <c r="C271" s="88">
        <v>330.32000699999998</v>
      </c>
      <c r="D271" s="88">
        <v>305.17999300000002</v>
      </c>
      <c r="E271" s="88">
        <v>314.55999800000001</v>
      </c>
      <c r="F271" s="89">
        <f t="shared" si="119"/>
        <v>3</v>
      </c>
      <c r="G271" s="89">
        <f t="shared" si="116"/>
        <v>-945.32995499999993</v>
      </c>
      <c r="H271" s="89">
        <f t="shared" si="120"/>
        <v>3</v>
      </c>
      <c r="I271" s="89">
        <f t="shared" si="121"/>
        <v>-943.67999400000008</v>
      </c>
      <c r="J271" s="89">
        <f t="shared" si="117"/>
        <v>3</v>
      </c>
      <c r="K271" s="89">
        <f t="shared" si="118"/>
        <v>-990.96002099999987</v>
      </c>
      <c r="L271" s="89">
        <f t="shared" si="122"/>
        <v>3</v>
      </c>
      <c r="M271" s="89">
        <f t="shared" si="123"/>
        <v>-915.53997900000013</v>
      </c>
      <c r="N271" s="89"/>
      <c r="O271" s="89"/>
      <c r="P271" s="89"/>
      <c r="Q271" s="89"/>
      <c r="R271" s="89"/>
      <c r="S271" s="89"/>
    </row>
    <row r="272" spans="1:19" hidden="1" x14ac:dyDescent="0.4">
      <c r="A272" s="87" t="s">
        <v>260</v>
      </c>
      <c r="B272" s="88">
        <v>318.10998499999999</v>
      </c>
      <c r="C272" s="88">
        <v>338.19000199999999</v>
      </c>
      <c r="D272" s="88">
        <v>310.88000499999998</v>
      </c>
      <c r="E272" s="88">
        <v>314.14001500000001</v>
      </c>
      <c r="F272" s="89">
        <f t="shared" si="119"/>
        <v>3</v>
      </c>
      <c r="G272" s="89">
        <f t="shared" si="116"/>
        <v>-954.32995499999993</v>
      </c>
      <c r="H272" s="89">
        <f t="shared" si="120"/>
        <v>3</v>
      </c>
      <c r="I272" s="89">
        <f t="shared" si="121"/>
        <v>-942.42004500000007</v>
      </c>
      <c r="J272" s="89">
        <f t="shared" si="117"/>
        <v>2</v>
      </c>
      <c r="K272" s="89">
        <f t="shared" si="118"/>
        <v>-676.38000399999999</v>
      </c>
      <c r="L272" s="89">
        <f t="shared" si="122"/>
        <v>3</v>
      </c>
      <c r="M272" s="89">
        <f t="shared" si="123"/>
        <v>-932.64001499999995</v>
      </c>
      <c r="N272" s="89"/>
      <c r="O272" s="89"/>
      <c r="P272" s="89"/>
      <c r="Q272" s="89"/>
      <c r="R272" s="89"/>
      <c r="S272" s="89"/>
    </row>
    <row r="273" spans="1:19" hidden="1" x14ac:dyDescent="0.4">
      <c r="A273" s="87" t="s">
        <v>261</v>
      </c>
      <c r="B273" s="88">
        <v>319.26998900000001</v>
      </c>
      <c r="C273" s="88">
        <v>324.32998700000002</v>
      </c>
      <c r="D273" s="88">
        <v>297.45001200000002</v>
      </c>
      <c r="E273" s="88">
        <v>319.13000499999998</v>
      </c>
      <c r="F273" s="89">
        <f t="shared" si="119"/>
        <v>3</v>
      </c>
      <c r="G273" s="89">
        <f t="shared" si="116"/>
        <v>-957.80996700000003</v>
      </c>
      <c r="H273" s="89">
        <f t="shared" si="120"/>
        <v>3</v>
      </c>
      <c r="I273" s="89">
        <f t="shared" si="121"/>
        <v>-957.39001499999995</v>
      </c>
      <c r="J273" s="89">
        <f t="shared" si="117"/>
        <v>3</v>
      </c>
      <c r="K273" s="89">
        <f t="shared" si="118"/>
        <v>-972.98996099999999</v>
      </c>
      <c r="L273" s="89">
        <f t="shared" si="122"/>
        <v>3</v>
      </c>
      <c r="M273" s="89">
        <f t="shared" si="123"/>
        <v>-892.35003600000005</v>
      </c>
      <c r="N273" s="89"/>
      <c r="O273" s="89"/>
      <c r="P273" s="89"/>
      <c r="Q273" s="89"/>
      <c r="R273" s="89"/>
      <c r="S273" s="89"/>
    </row>
    <row r="274" spans="1:19" hidden="1" x14ac:dyDescent="0.4">
      <c r="A274" s="87" t="s">
        <v>262</v>
      </c>
      <c r="B274" s="88">
        <v>323.07000699999998</v>
      </c>
      <c r="C274" s="88">
        <v>342.79998799999998</v>
      </c>
      <c r="D274" s="88">
        <v>322.80999800000001</v>
      </c>
      <c r="E274" s="88">
        <v>337.98998999999998</v>
      </c>
      <c r="F274" s="89">
        <f t="shared" si="119"/>
        <v>3</v>
      </c>
      <c r="G274" s="89">
        <f t="shared" si="116"/>
        <v>-969.21002099999987</v>
      </c>
      <c r="H274" s="89">
        <f t="shared" si="120"/>
        <v>2</v>
      </c>
      <c r="I274" s="89">
        <f t="shared" si="121"/>
        <v>-675.97997999999995</v>
      </c>
      <c r="J274" s="89">
        <f t="shared" si="117"/>
        <v>2</v>
      </c>
      <c r="K274" s="89">
        <f t="shared" si="118"/>
        <v>-685.59997599999997</v>
      </c>
      <c r="L274" s="89">
        <f t="shared" si="122"/>
        <v>3</v>
      </c>
      <c r="M274" s="89">
        <f t="shared" si="123"/>
        <v>-968.42999400000008</v>
      </c>
      <c r="N274" s="89"/>
      <c r="O274" s="89"/>
      <c r="P274" s="89"/>
      <c r="Q274" s="89"/>
      <c r="R274" s="89"/>
      <c r="S274" s="89"/>
    </row>
    <row r="275" spans="1:19" hidden="1" x14ac:dyDescent="0.4">
      <c r="A275" s="87" t="s">
        <v>263</v>
      </c>
      <c r="B275" s="88">
        <v>339.23001099999999</v>
      </c>
      <c r="C275" s="88">
        <v>340</v>
      </c>
      <c r="D275" s="88">
        <v>316</v>
      </c>
      <c r="E275" s="88">
        <v>333.92999300000002</v>
      </c>
      <c r="F275" s="89">
        <f t="shared" si="119"/>
        <v>2</v>
      </c>
      <c r="G275" s="89">
        <f t="shared" si="116"/>
        <v>-678.46002199999998</v>
      </c>
      <c r="H275" s="89">
        <f t="shared" si="120"/>
        <v>2</v>
      </c>
      <c r="I275" s="89">
        <f t="shared" si="121"/>
        <v>-667.85998600000005</v>
      </c>
      <c r="J275" s="89">
        <f t="shared" si="117"/>
        <v>2</v>
      </c>
      <c r="K275" s="89">
        <f t="shared" si="118"/>
        <v>-680</v>
      </c>
      <c r="L275" s="89">
        <f t="shared" si="122"/>
        <v>3</v>
      </c>
      <c r="M275" s="89">
        <f t="shared" si="123"/>
        <v>-948</v>
      </c>
      <c r="N275" s="89"/>
      <c r="O275" s="89"/>
      <c r="P275" s="89">
        <f t="shared" ref="P275" si="124">INT(P$1/MAX(C264:C275))</f>
        <v>35</v>
      </c>
      <c r="Q275" s="89">
        <f t="shared" ref="Q275" si="125">P275*-MAX(C264:C275)</f>
        <v>-11997.99958</v>
      </c>
      <c r="R275" s="89">
        <f t="shared" ref="R275" si="126">INT(R$1/MIN(D264:D275))</f>
        <v>51</v>
      </c>
      <c r="S275" s="89">
        <f t="shared" ref="S275" si="127">R275*-MIN(D264:D275)</f>
        <v>-11804.970051</v>
      </c>
    </row>
    <row r="276" spans="1:19" hidden="1" x14ac:dyDescent="0.4">
      <c r="A276" s="87" t="s">
        <v>264</v>
      </c>
      <c r="B276" s="88">
        <v>335.29998799999998</v>
      </c>
      <c r="C276" s="88">
        <v>355.23001099999999</v>
      </c>
      <c r="D276" s="88">
        <v>328.27999899999998</v>
      </c>
      <c r="E276" s="88">
        <v>354.42999300000002</v>
      </c>
      <c r="F276" s="89">
        <f t="shared" si="119"/>
        <v>2</v>
      </c>
      <c r="G276" s="89">
        <f t="shared" si="116"/>
        <v>-670.59997599999997</v>
      </c>
      <c r="H276" s="89">
        <f t="shared" si="120"/>
        <v>2</v>
      </c>
      <c r="I276" s="89">
        <f t="shared" si="121"/>
        <v>-708.85998600000005</v>
      </c>
      <c r="J276" s="89">
        <f t="shared" si="117"/>
        <v>2</v>
      </c>
      <c r="K276" s="89">
        <f t="shared" si="118"/>
        <v>-710.46002199999998</v>
      </c>
      <c r="L276" s="89">
        <f t="shared" si="122"/>
        <v>3</v>
      </c>
      <c r="M276" s="89">
        <f t="shared" si="123"/>
        <v>-984.83999699999993</v>
      </c>
      <c r="N276" s="89"/>
      <c r="O276" s="89"/>
      <c r="P276" s="89"/>
      <c r="Q276" s="89"/>
      <c r="R276" s="89"/>
      <c r="S276" s="89"/>
    </row>
    <row r="277" spans="1:19" hidden="1" x14ac:dyDescent="0.4">
      <c r="A277" s="87" t="s">
        <v>265</v>
      </c>
      <c r="B277" s="88">
        <v>354.07000699999998</v>
      </c>
      <c r="C277" s="88">
        <v>368.89001500000001</v>
      </c>
      <c r="D277" s="88">
        <v>352.040009</v>
      </c>
      <c r="E277" s="88">
        <v>364.57000699999998</v>
      </c>
      <c r="F277" s="89">
        <f t="shared" si="119"/>
        <v>2</v>
      </c>
      <c r="G277" s="89">
        <f t="shared" si="116"/>
        <v>-708.14001399999995</v>
      </c>
      <c r="H277" s="89">
        <f t="shared" si="120"/>
        <v>2</v>
      </c>
      <c r="I277" s="89">
        <f t="shared" si="121"/>
        <v>-729.14001399999995</v>
      </c>
      <c r="J277" s="89">
        <f t="shared" si="117"/>
        <v>2</v>
      </c>
      <c r="K277" s="89">
        <f t="shared" si="118"/>
        <v>-737.78003000000001</v>
      </c>
      <c r="L277" s="89">
        <f t="shared" si="122"/>
        <v>2</v>
      </c>
      <c r="M277" s="89">
        <f t="shared" si="123"/>
        <v>-704.080018</v>
      </c>
      <c r="N277" s="89"/>
      <c r="O277" s="89"/>
      <c r="P277" s="89"/>
      <c r="Q277" s="89"/>
      <c r="R277" s="89"/>
      <c r="S277" s="89"/>
    </row>
    <row r="278" spans="1:19" hidden="1" x14ac:dyDescent="0.4">
      <c r="A278" s="87" t="s">
        <v>266</v>
      </c>
      <c r="B278" s="88">
        <v>366.27999899999998</v>
      </c>
      <c r="C278" s="88">
        <v>380.76001000000002</v>
      </c>
      <c r="D278" s="88">
        <v>359.959991</v>
      </c>
      <c r="E278" s="88">
        <v>379.95001200000002</v>
      </c>
      <c r="F278" s="89">
        <f t="shared" si="119"/>
        <v>2</v>
      </c>
      <c r="G278" s="89">
        <f t="shared" si="116"/>
        <v>-732.55999799999995</v>
      </c>
      <c r="H278" s="89">
        <f t="shared" si="120"/>
        <v>2</v>
      </c>
      <c r="I278" s="89">
        <f t="shared" si="121"/>
        <v>-759.90002400000003</v>
      </c>
      <c r="J278" s="89">
        <f t="shared" si="117"/>
        <v>2</v>
      </c>
      <c r="K278" s="89">
        <f t="shared" si="118"/>
        <v>-761.52002000000005</v>
      </c>
      <c r="L278" s="89">
        <f t="shared" si="122"/>
        <v>2</v>
      </c>
      <c r="M278" s="89">
        <f t="shared" si="123"/>
        <v>-719.919982</v>
      </c>
      <c r="N278" s="89"/>
      <c r="O278" s="89"/>
      <c r="P278" s="89"/>
      <c r="Q278" s="89"/>
      <c r="R278" s="89"/>
      <c r="S278" s="89"/>
    </row>
    <row r="279" spans="1:19" hidden="1" x14ac:dyDescent="0.4">
      <c r="A279" s="87" t="s">
        <v>267</v>
      </c>
      <c r="B279" s="88">
        <v>381.040009</v>
      </c>
      <c r="C279" s="88">
        <v>382.77999899999998</v>
      </c>
      <c r="D279" s="88">
        <v>357.10000600000001</v>
      </c>
      <c r="E279" s="88">
        <v>357.959991</v>
      </c>
      <c r="F279" s="89">
        <f t="shared" si="119"/>
        <v>2</v>
      </c>
      <c r="G279" s="89">
        <f t="shared" si="116"/>
        <v>-762.080018</v>
      </c>
      <c r="H279" s="89">
        <f t="shared" si="120"/>
        <v>2</v>
      </c>
      <c r="I279" s="89">
        <f t="shared" si="121"/>
        <v>-715.919982</v>
      </c>
      <c r="J279" s="89">
        <f t="shared" si="117"/>
        <v>2</v>
      </c>
      <c r="K279" s="89">
        <f t="shared" si="118"/>
        <v>-765.55999799999995</v>
      </c>
      <c r="L279" s="89">
        <f t="shared" si="122"/>
        <v>2</v>
      </c>
      <c r="M279" s="89">
        <f t="shared" si="123"/>
        <v>-714.20001200000002</v>
      </c>
      <c r="N279" s="89"/>
      <c r="O279" s="89"/>
      <c r="P279" s="89"/>
      <c r="Q279" s="89"/>
      <c r="R279" s="89"/>
      <c r="S279" s="89"/>
    </row>
    <row r="280" spans="1:19" hidden="1" x14ac:dyDescent="0.4">
      <c r="A280" s="87" t="s">
        <v>268</v>
      </c>
      <c r="B280" s="88">
        <v>358.60000600000001</v>
      </c>
      <c r="C280" s="88">
        <v>386.27999899999998</v>
      </c>
      <c r="D280" s="88">
        <v>350.32000699999998</v>
      </c>
      <c r="E280" s="88">
        <v>386.10998499999999</v>
      </c>
      <c r="F280" s="89">
        <f t="shared" si="119"/>
        <v>2</v>
      </c>
      <c r="G280" s="89">
        <f t="shared" si="116"/>
        <v>-717.20001200000002</v>
      </c>
      <c r="H280" s="89">
        <f t="shared" si="120"/>
        <v>2</v>
      </c>
      <c r="I280" s="89">
        <f t="shared" si="121"/>
        <v>-772.21996999999999</v>
      </c>
      <c r="J280" s="89">
        <f t="shared" si="117"/>
        <v>2</v>
      </c>
      <c r="K280" s="89">
        <f t="shared" si="118"/>
        <v>-772.55999799999995</v>
      </c>
      <c r="L280" s="89">
        <f t="shared" si="122"/>
        <v>2</v>
      </c>
      <c r="M280" s="89">
        <f t="shared" si="123"/>
        <v>-700.64001399999995</v>
      </c>
      <c r="N280" s="89"/>
      <c r="O280" s="89"/>
      <c r="P280" s="89"/>
      <c r="Q280" s="89"/>
      <c r="R280" s="89"/>
      <c r="S280" s="89"/>
    </row>
    <row r="281" spans="1:19" hidden="1" x14ac:dyDescent="0.4">
      <c r="A281" s="87" t="s">
        <v>269</v>
      </c>
      <c r="B281" s="88">
        <v>386.55999800000001</v>
      </c>
      <c r="C281" s="88">
        <v>408.709991</v>
      </c>
      <c r="D281" s="88">
        <v>384.42001299999998</v>
      </c>
      <c r="E281" s="88">
        <v>393.82000699999998</v>
      </c>
      <c r="F281" s="89">
        <f t="shared" si="119"/>
        <v>2</v>
      </c>
      <c r="G281" s="89">
        <f t="shared" si="116"/>
        <v>-773.11999600000001</v>
      </c>
      <c r="H281" s="89">
        <f t="shared" si="120"/>
        <v>2</v>
      </c>
      <c r="I281" s="89">
        <f t="shared" si="121"/>
        <v>-787.64001399999995</v>
      </c>
      <c r="J281" s="89">
        <f t="shared" si="117"/>
        <v>2</v>
      </c>
      <c r="K281" s="89">
        <f t="shared" si="118"/>
        <v>-817.419982</v>
      </c>
      <c r="L281" s="89">
        <f t="shared" si="122"/>
        <v>2</v>
      </c>
      <c r="M281" s="89">
        <f t="shared" si="123"/>
        <v>-768.84002599999997</v>
      </c>
      <c r="N281" s="89"/>
      <c r="O281" s="89"/>
      <c r="P281" s="89"/>
      <c r="Q281" s="89"/>
      <c r="R281" s="89"/>
      <c r="S281" s="89"/>
    </row>
    <row r="282" spans="1:19" hidden="1" x14ac:dyDescent="0.4">
      <c r="A282" s="87" t="s">
        <v>270</v>
      </c>
      <c r="B282" s="88">
        <v>398.27999899999998</v>
      </c>
      <c r="C282" s="88">
        <v>404.57998700000002</v>
      </c>
      <c r="D282" s="88">
        <v>377.47000100000002</v>
      </c>
      <c r="E282" s="88">
        <v>397.85000600000001</v>
      </c>
      <c r="F282" s="89">
        <f t="shared" si="119"/>
        <v>2</v>
      </c>
      <c r="G282" s="89">
        <f t="shared" si="116"/>
        <v>-796.55999799999995</v>
      </c>
      <c r="H282" s="89">
        <f t="shared" si="120"/>
        <v>2</v>
      </c>
      <c r="I282" s="89">
        <f t="shared" si="121"/>
        <v>-795.70001200000002</v>
      </c>
      <c r="J282" s="89">
        <f t="shared" si="117"/>
        <v>2</v>
      </c>
      <c r="K282" s="89">
        <f t="shared" si="118"/>
        <v>-809.15997400000003</v>
      </c>
      <c r="L282" s="89">
        <f t="shared" si="122"/>
        <v>2</v>
      </c>
      <c r="M282" s="89">
        <f t="shared" si="123"/>
        <v>-754.94000200000005</v>
      </c>
      <c r="N282" s="89"/>
      <c r="O282" s="89"/>
      <c r="P282" s="89"/>
      <c r="Q282" s="89"/>
      <c r="R282" s="89"/>
      <c r="S282" s="89"/>
    </row>
    <row r="283" spans="1:19" hidden="1" x14ac:dyDescent="0.4">
      <c r="A283" s="87" t="s">
        <v>271</v>
      </c>
      <c r="B283" s="88">
        <v>399.04998799999998</v>
      </c>
      <c r="C283" s="88">
        <v>402.27999899999998</v>
      </c>
      <c r="D283" s="88">
        <v>334.14999399999999</v>
      </c>
      <c r="E283" s="88">
        <v>363.04998799999998</v>
      </c>
      <c r="F283" s="89">
        <f t="shared" si="119"/>
        <v>2</v>
      </c>
      <c r="G283" s="89">
        <f t="shared" si="116"/>
        <v>-798.09997599999997</v>
      </c>
      <c r="H283" s="89">
        <f t="shared" si="120"/>
        <v>2</v>
      </c>
      <c r="I283" s="89">
        <f t="shared" si="121"/>
        <v>-726.09997599999997</v>
      </c>
      <c r="J283" s="89">
        <f t="shared" si="117"/>
        <v>2</v>
      </c>
      <c r="K283" s="89">
        <f t="shared" si="118"/>
        <v>-804.55999799999995</v>
      </c>
      <c r="L283" s="89">
        <f t="shared" si="122"/>
        <v>2</v>
      </c>
      <c r="M283" s="89">
        <f t="shared" si="123"/>
        <v>-668.29998799999998</v>
      </c>
      <c r="N283" s="89"/>
      <c r="O283" s="89"/>
      <c r="P283" s="89"/>
      <c r="Q283" s="89"/>
      <c r="R283" s="89"/>
      <c r="S283" s="89"/>
    </row>
    <row r="284" spans="1:19" hidden="1" x14ac:dyDescent="0.4">
      <c r="A284" s="87" t="s">
        <v>272</v>
      </c>
      <c r="B284" s="88">
        <v>364.42999300000002</v>
      </c>
      <c r="C284" s="88">
        <v>370.10000600000001</v>
      </c>
      <c r="D284" s="88">
        <v>318.26001000000002</v>
      </c>
      <c r="E284" s="88">
        <v>346.79998799999998</v>
      </c>
      <c r="F284" s="89">
        <f t="shared" si="119"/>
        <v>2</v>
      </c>
      <c r="G284" s="89">
        <f t="shared" si="116"/>
        <v>-728.85998600000005</v>
      </c>
      <c r="H284" s="89">
        <f t="shared" si="120"/>
        <v>2</v>
      </c>
      <c r="I284" s="89">
        <f t="shared" si="121"/>
        <v>-693.59997599999997</v>
      </c>
      <c r="J284" s="89">
        <f t="shared" si="117"/>
        <v>2</v>
      </c>
      <c r="K284" s="89">
        <f t="shared" si="118"/>
        <v>-740.20001200000002</v>
      </c>
      <c r="L284" s="89">
        <f t="shared" si="122"/>
        <v>3</v>
      </c>
      <c r="M284" s="89">
        <f t="shared" si="123"/>
        <v>-954.78003000000012</v>
      </c>
      <c r="N284" s="89"/>
      <c r="O284" s="89"/>
      <c r="P284" s="89"/>
      <c r="Q284" s="89"/>
      <c r="R284" s="89"/>
      <c r="S284" s="89"/>
    </row>
    <row r="285" spans="1:19" hidden="1" x14ac:dyDescent="0.4">
      <c r="A285" s="87" t="s">
        <v>273</v>
      </c>
      <c r="B285" s="88">
        <v>345.75</v>
      </c>
      <c r="C285" s="88">
        <v>371.82998700000002</v>
      </c>
      <c r="D285" s="88">
        <v>317.45001200000002</v>
      </c>
      <c r="E285" s="88">
        <v>362.540009</v>
      </c>
      <c r="F285" s="89">
        <f t="shared" si="119"/>
        <v>2</v>
      </c>
      <c r="G285" s="89">
        <f t="shared" si="116"/>
        <v>-691.5</v>
      </c>
      <c r="H285" s="89">
        <f t="shared" si="120"/>
        <v>2</v>
      </c>
      <c r="I285" s="89">
        <f t="shared" si="121"/>
        <v>-725.080018</v>
      </c>
      <c r="J285" s="89">
        <f t="shared" si="117"/>
        <v>2</v>
      </c>
      <c r="K285" s="89">
        <f t="shared" si="118"/>
        <v>-743.65997400000003</v>
      </c>
      <c r="L285" s="89">
        <f t="shared" si="122"/>
        <v>3</v>
      </c>
      <c r="M285" s="89">
        <f t="shared" si="123"/>
        <v>-952.35003600000005</v>
      </c>
      <c r="N285" s="89"/>
      <c r="O285" s="89"/>
      <c r="P285" s="89"/>
      <c r="Q285" s="89"/>
      <c r="R285" s="89"/>
      <c r="S285" s="89"/>
    </row>
    <row r="286" spans="1:19" hidden="1" x14ac:dyDescent="0.4">
      <c r="A286" s="87" t="s">
        <v>274</v>
      </c>
      <c r="B286" s="88">
        <v>362.80999800000001</v>
      </c>
      <c r="C286" s="88">
        <v>369.30999800000001</v>
      </c>
      <c r="D286" s="88">
        <v>312.60000600000001</v>
      </c>
      <c r="E286" s="88">
        <v>313.25</v>
      </c>
      <c r="F286" s="89">
        <f t="shared" si="119"/>
        <v>2</v>
      </c>
      <c r="G286" s="89">
        <f t="shared" si="116"/>
        <v>-725.61999600000001</v>
      </c>
      <c r="H286" s="89">
        <f t="shared" si="120"/>
        <v>3</v>
      </c>
      <c r="I286" s="89">
        <f t="shared" si="121"/>
        <v>-939.75</v>
      </c>
      <c r="J286" s="89">
        <f t="shared" si="117"/>
        <v>2</v>
      </c>
      <c r="K286" s="89">
        <f t="shared" si="118"/>
        <v>-738.61999600000001</v>
      </c>
      <c r="L286" s="89">
        <f t="shared" si="122"/>
        <v>3</v>
      </c>
      <c r="M286" s="89">
        <f t="shared" si="123"/>
        <v>-937.80001800000002</v>
      </c>
      <c r="N286" s="89"/>
      <c r="O286" s="89"/>
      <c r="P286" s="89"/>
      <c r="Q286" s="89"/>
      <c r="R286" s="89"/>
      <c r="S286" s="89"/>
    </row>
    <row r="287" spans="1:19" hidden="1" x14ac:dyDescent="0.4">
      <c r="A287" s="87" t="s">
        <v>275</v>
      </c>
      <c r="B287" s="88">
        <v>312.82998700000002</v>
      </c>
      <c r="C287" s="88">
        <v>330.290009</v>
      </c>
      <c r="D287" s="88">
        <v>280.209991</v>
      </c>
      <c r="E287" s="88">
        <v>308.27999899999998</v>
      </c>
      <c r="F287" s="89">
        <f t="shared" si="119"/>
        <v>3</v>
      </c>
      <c r="G287" s="89">
        <f t="shared" si="116"/>
        <v>-938.48996099999999</v>
      </c>
      <c r="H287" s="89">
        <f t="shared" si="120"/>
        <v>3</v>
      </c>
      <c r="I287" s="89">
        <f t="shared" si="121"/>
        <v>-924.83999699999993</v>
      </c>
      <c r="J287" s="89">
        <f t="shared" si="117"/>
        <v>3</v>
      </c>
      <c r="K287" s="89">
        <f t="shared" si="118"/>
        <v>-990.87002699999994</v>
      </c>
      <c r="L287" s="89">
        <f t="shared" si="122"/>
        <v>3</v>
      </c>
      <c r="M287" s="89">
        <f t="shared" si="123"/>
        <v>-840.62997300000006</v>
      </c>
      <c r="N287" s="89"/>
      <c r="O287" s="89"/>
      <c r="P287" s="89">
        <f t="shared" ref="P287" si="128">INT(P$1/MAX(C276:C287))</f>
        <v>29</v>
      </c>
      <c r="Q287" s="89">
        <f t="shared" ref="Q287" si="129">P287*-MAX(C276:C287)</f>
        <v>-11852.589739000001</v>
      </c>
      <c r="R287" s="89">
        <f t="shared" ref="R287" si="130">INT(R$1/MIN(D276:D287))</f>
        <v>42</v>
      </c>
      <c r="S287" s="89">
        <f t="shared" ref="S287" si="131">R287*-MIN(D276:D287)</f>
        <v>-11768.819622000001</v>
      </c>
    </row>
    <row r="288" spans="1:19" hidden="1" x14ac:dyDescent="0.4">
      <c r="A288" s="87" t="s">
        <v>276</v>
      </c>
      <c r="B288" s="88">
        <v>310.47000100000002</v>
      </c>
      <c r="C288" s="88">
        <v>314.55999800000001</v>
      </c>
      <c r="D288" s="88">
        <v>269.27999899999998</v>
      </c>
      <c r="E288" s="88">
        <v>280.27999899999998</v>
      </c>
      <c r="F288" s="89">
        <f t="shared" si="119"/>
        <v>3</v>
      </c>
      <c r="G288" s="89">
        <f t="shared" si="116"/>
        <v>-931.41000300000007</v>
      </c>
      <c r="H288" s="89">
        <f t="shared" si="120"/>
        <v>3</v>
      </c>
      <c r="I288" s="89">
        <f t="shared" si="121"/>
        <v>-840.83999699999993</v>
      </c>
      <c r="J288" s="89">
        <f t="shared" si="117"/>
        <v>3</v>
      </c>
      <c r="K288" s="89">
        <f t="shared" si="118"/>
        <v>-943.67999400000008</v>
      </c>
      <c r="L288" s="89">
        <f t="shared" si="122"/>
        <v>3</v>
      </c>
      <c r="M288" s="89">
        <f t="shared" si="123"/>
        <v>-807.83999699999993</v>
      </c>
      <c r="N288" s="89"/>
      <c r="O288" s="89"/>
      <c r="P288" s="89"/>
      <c r="Q288" s="89"/>
      <c r="R288" s="89"/>
      <c r="S288" s="89"/>
    </row>
    <row r="289" spans="1:19" hidden="1" x14ac:dyDescent="0.4">
      <c r="A289" s="87" t="s">
        <v>277</v>
      </c>
      <c r="B289" s="88">
        <v>278.95001200000002</v>
      </c>
      <c r="C289" s="88">
        <v>316.39001500000001</v>
      </c>
      <c r="D289" s="88">
        <v>276.75</v>
      </c>
      <c r="E289" s="88">
        <v>315.459991</v>
      </c>
      <c r="F289" s="89">
        <f t="shared" si="119"/>
        <v>3</v>
      </c>
      <c r="G289" s="89">
        <f t="shared" si="116"/>
        <v>-836.85003600000005</v>
      </c>
      <c r="H289" s="89">
        <f t="shared" si="120"/>
        <v>3</v>
      </c>
      <c r="I289" s="89">
        <f t="shared" si="121"/>
        <v>-946.37997300000006</v>
      </c>
      <c r="J289" s="89">
        <f t="shared" si="117"/>
        <v>3</v>
      </c>
      <c r="K289" s="89">
        <f t="shared" si="118"/>
        <v>-949.17004500000007</v>
      </c>
      <c r="L289" s="89">
        <f t="shared" si="122"/>
        <v>3</v>
      </c>
      <c r="M289" s="89">
        <f t="shared" si="123"/>
        <v>-830.25</v>
      </c>
      <c r="N289" s="89"/>
      <c r="O289" s="89"/>
      <c r="P289" s="89"/>
      <c r="Q289" s="89"/>
      <c r="R289" s="89"/>
      <c r="S289" s="89"/>
    </row>
    <row r="290" spans="1:19" hidden="1" x14ac:dyDescent="0.4">
      <c r="A290" s="87" t="s">
        <v>278</v>
      </c>
      <c r="B290" s="88">
        <v>313.64999399999999</v>
      </c>
      <c r="C290" s="88">
        <v>334.42001299999998</v>
      </c>
      <c r="D290" s="88">
        <v>298.44000199999999</v>
      </c>
      <c r="E290" s="88">
        <v>299.26998900000001</v>
      </c>
      <c r="F290" s="89">
        <f t="shared" si="119"/>
        <v>3</v>
      </c>
      <c r="G290" s="89">
        <f t="shared" si="116"/>
        <v>-940.94998199999998</v>
      </c>
      <c r="H290" s="89">
        <f t="shared" si="120"/>
        <v>3</v>
      </c>
      <c r="I290" s="89">
        <f t="shared" si="121"/>
        <v>-897.80996700000003</v>
      </c>
      <c r="J290" s="89">
        <f t="shared" si="117"/>
        <v>2</v>
      </c>
      <c r="K290" s="89">
        <f t="shared" si="118"/>
        <v>-668.84002599999997</v>
      </c>
      <c r="L290" s="89">
        <f t="shared" si="122"/>
        <v>3</v>
      </c>
      <c r="M290" s="89">
        <f t="shared" si="123"/>
        <v>-895.32000599999992</v>
      </c>
      <c r="N290" s="89"/>
      <c r="O290" s="89"/>
      <c r="P290" s="89"/>
      <c r="Q290" s="89"/>
      <c r="R290" s="89"/>
      <c r="S290" s="89"/>
    </row>
    <row r="291" spans="1:19" hidden="1" x14ac:dyDescent="0.4">
      <c r="A291" s="87" t="s">
        <v>279</v>
      </c>
      <c r="B291" s="88">
        <v>296.72000100000002</v>
      </c>
      <c r="C291" s="88">
        <v>311.07998700000002</v>
      </c>
      <c r="D291" s="88">
        <v>267.10000600000001</v>
      </c>
      <c r="E291" s="88">
        <v>267.26001000000002</v>
      </c>
      <c r="F291" s="89">
        <f t="shared" si="119"/>
        <v>3</v>
      </c>
      <c r="G291" s="89">
        <f t="shared" si="116"/>
        <v>-890.16000300000007</v>
      </c>
      <c r="H291" s="89">
        <f t="shared" si="120"/>
        <v>3</v>
      </c>
      <c r="I291" s="89">
        <f t="shared" si="121"/>
        <v>-801.78003000000012</v>
      </c>
      <c r="J291" s="89">
        <f t="shared" si="117"/>
        <v>3</v>
      </c>
      <c r="K291" s="89">
        <f t="shared" si="118"/>
        <v>-933.23996099999999</v>
      </c>
      <c r="L291" s="89">
        <f t="shared" si="122"/>
        <v>3</v>
      </c>
      <c r="M291" s="89">
        <f t="shared" si="123"/>
        <v>-801.30001800000002</v>
      </c>
      <c r="N291" s="89"/>
      <c r="O291" s="89"/>
      <c r="P291" s="89"/>
      <c r="Q291" s="89"/>
      <c r="R291" s="89"/>
      <c r="S291" s="89"/>
    </row>
    <row r="292" spans="1:19" hidden="1" x14ac:dyDescent="0.4">
      <c r="A292" s="87" t="s">
        <v>280</v>
      </c>
      <c r="B292" s="88">
        <v>269.07000699999998</v>
      </c>
      <c r="C292" s="88">
        <v>284.60000600000001</v>
      </c>
      <c r="D292" s="88">
        <v>254.259995</v>
      </c>
      <c r="E292" s="88">
        <v>277.95001200000002</v>
      </c>
      <c r="F292" s="89">
        <f t="shared" si="119"/>
        <v>3</v>
      </c>
      <c r="G292" s="89">
        <f t="shared" si="116"/>
        <v>-807.21002099999987</v>
      </c>
      <c r="H292" s="89">
        <f t="shared" si="120"/>
        <v>3</v>
      </c>
      <c r="I292" s="89">
        <f t="shared" si="121"/>
        <v>-833.85003600000005</v>
      </c>
      <c r="J292" s="89">
        <f t="shared" si="117"/>
        <v>3</v>
      </c>
      <c r="K292" s="89">
        <f t="shared" si="118"/>
        <v>-853.80001800000002</v>
      </c>
      <c r="L292" s="89">
        <f t="shared" si="122"/>
        <v>3</v>
      </c>
      <c r="M292" s="89">
        <f t="shared" si="123"/>
        <v>-762.77998500000001</v>
      </c>
      <c r="N292" s="89"/>
      <c r="O292" s="89"/>
      <c r="P292" s="89"/>
      <c r="Q292" s="89"/>
      <c r="R292" s="89"/>
      <c r="S292" s="89"/>
    </row>
    <row r="293" spans="1:19" hidden="1" x14ac:dyDescent="0.4">
      <c r="A293" s="87" t="s">
        <v>281</v>
      </c>
      <c r="B293" s="88">
        <v>281.5</v>
      </c>
      <c r="C293" s="88">
        <v>293.47000100000002</v>
      </c>
      <c r="D293" s="88">
        <v>259.07998700000002</v>
      </c>
      <c r="E293" s="88">
        <v>293.35998499999999</v>
      </c>
      <c r="F293" s="89">
        <f t="shared" si="119"/>
        <v>3</v>
      </c>
      <c r="G293" s="89">
        <f t="shared" si="116"/>
        <v>-844.5</v>
      </c>
      <c r="H293" s="89">
        <f t="shared" si="120"/>
        <v>3</v>
      </c>
      <c r="I293" s="89">
        <f t="shared" si="121"/>
        <v>-880.07995499999993</v>
      </c>
      <c r="J293" s="89">
        <f t="shared" si="117"/>
        <v>3</v>
      </c>
      <c r="K293" s="89">
        <f t="shared" si="118"/>
        <v>-880.41000300000007</v>
      </c>
      <c r="L293" s="89">
        <f t="shared" si="122"/>
        <v>3</v>
      </c>
      <c r="M293" s="89">
        <f t="shared" si="123"/>
        <v>-777.23996099999999</v>
      </c>
      <c r="N293" s="89"/>
      <c r="O293" s="89"/>
      <c r="P293" s="89"/>
      <c r="Q293" s="89"/>
      <c r="R293" s="89"/>
      <c r="S293" s="89"/>
    </row>
    <row r="294" spans="1:19" hidden="1" x14ac:dyDescent="0.4">
      <c r="A294" s="87" t="s">
        <v>282</v>
      </c>
      <c r="B294" s="88">
        <v>293.69000199999999</v>
      </c>
      <c r="C294" s="88">
        <v>296.88000499999998</v>
      </c>
      <c r="D294" s="88">
        <v>259.73001099999999</v>
      </c>
      <c r="E294" s="88">
        <v>266.27999899999998</v>
      </c>
      <c r="F294" s="89">
        <f t="shared" si="119"/>
        <v>3</v>
      </c>
      <c r="G294" s="89">
        <f t="shared" si="116"/>
        <v>-881.07000599999992</v>
      </c>
      <c r="H294" s="89">
        <f t="shared" si="120"/>
        <v>3</v>
      </c>
      <c r="I294" s="89">
        <f t="shared" si="121"/>
        <v>-798.83999699999993</v>
      </c>
      <c r="J294" s="89">
        <f t="shared" si="117"/>
        <v>3</v>
      </c>
      <c r="K294" s="89">
        <f t="shared" si="118"/>
        <v>-890.64001499999995</v>
      </c>
      <c r="L294" s="89">
        <f t="shared" si="122"/>
        <v>3</v>
      </c>
      <c r="M294" s="89">
        <f t="shared" si="123"/>
        <v>-779.19003299999997</v>
      </c>
      <c r="N294" s="89"/>
      <c r="O294" s="89"/>
      <c r="P294" s="89"/>
      <c r="Q294" s="89"/>
      <c r="R294" s="89"/>
      <c r="S294" s="89"/>
    </row>
    <row r="295" spans="1:19" hidden="1" x14ac:dyDescent="0.4">
      <c r="A295" s="87" t="s">
        <v>283</v>
      </c>
      <c r="B295" s="88">
        <v>268.64999399999999</v>
      </c>
      <c r="C295" s="88">
        <v>298.26001000000002</v>
      </c>
      <c r="D295" s="88">
        <v>260.33999599999999</v>
      </c>
      <c r="E295" s="88">
        <v>294.61999500000002</v>
      </c>
      <c r="F295" s="89">
        <f t="shared" si="119"/>
        <v>3</v>
      </c>
      <c r="G295" s="89">
        <f t="shared" si="116"/>
        <v>-805.94998199999998</v>
      </c>
      <c r="H295" s="89">
        <f t="shared" si="120"/>
        <v>3</v>
      </c>
      <c r="I295" s="89">
        <f t="shared" si="121"/>
        <v>-883.85998500000005</v>
      </c>
      <c r="J295" s="89">
        <f t="shared" si="117"/>
        <v>3</v>
      </c>
      <c r="K295" s="89">
        <f t="shared" si="118"/>
        <v>-894.78003000000012</v>
      </c>
      <c r="L295" s="89">
        <f t="shared" si="122"/>
        <v>3</v>
      </c>
      <c r="M295" s="89">
        <f t="shared" si="123"/>
        <v>-781.01998800000001</v>
      </c>
      <c r="N295" s="89"/>
      <c r="O295" s="89"/>
      <c r="P295" s="89"/>
      <c r="Q295" s="89"/>
      <c r="R295" s="89"/>
      <c r="S295" s="89"/>
    </row>
    <row r="296" spans="1:19" hidden="1" x14ac:dyDescent="0.4">
      <c r="A296" s="87" t="s">
        <v>284</v>
      </c>
      <c r="B296" s="88">
        <v>294.41000400000001</v>
      </c>
      <c r="C296" s="88">
        <v>313.67999300000002</v>
      </c>
      <c r="D296" s="88">
        <v>290.04998799999998</v>
      </c>
      <c r="E296" s="88">
        <v>293.55999800000001</v>
      </c>
      <c r="F296" s="89">
        <f t="shared" si="119"/>
        <v>3</v>
      </c>
      <c r="G296" s="89">
        <f t="shared" si="116"/>
        <v>-883.23001199999999</v>
      </c>
      <c r="H296" s="89">
        <f t="shared" si="120"/>
        <v>3</v>
      </c>
      <c r="I296" s="89">
        <f t="shared" si="121"/>
        <v>-880.67999400000008</v>
      </c>
      <c r="J296" s="89">
        <f t="shared" si="117"/>
        <v>3</v>
      </c>
      <c r="K296" s="89">
        <f t="shared" si="118"/>
        <v>-941.03997900000013</v>
      </c>
      <c r="L296" s="89">
        <f t="shared" si="122"/>
        <v>3</v>
      </c>
      <c r="M296" s="89">
        <f t="shared" si="123"/>
        <v>-870.14996399999995</v>
      </c>
      <c r="N296" s="89"/>
      <c r="O296" s="89"/>
      <c r="P296" s="89"/>
      <c r="Q296" s="89"/>
      <c r="R296" s="89"/>
      <c r="S296" s="89"/>
    </row>
    <row r="297" spans="1:19" hidden="1" x14ac:dyDescent="0.4">
      <c r="A297" s="87" t="s">
        <v>285</v>
      </c>
      <c r="B297" s="88">
        <v>293.26001000000002</v>
      </c>
      <c r="C297" s="88">
        <v>321.17001299999998</v>
      </c>
      <c r="D297" s="88">
        <v>285.19000199999999</v>
      </c>
      <c r="E297" s="88">
        <v>320.92999300000002</v>
      </c>
      <c r="F297" s="89">
        <f t="shared" si="119"/>
        <v>3</v>
      </c>
      <c r="G297" s="89">
        <f t="shared" si="116"/>
        <v>-879.78003000000012</v>
      </c>
      <c r="H297" s="89">
        <f t="shared" si="120"/>
        <v>3</v>
      </c>
      <c r="I297" s="89">
        <f t="shared" si="121"/>
        <v>-962.78997900000013</v>
      </c>
      <c r="J297" s="89">
        <f t="shared" si="117"/>
        <v>3</v>
      </c>
      <c r="K297" s="89">
        <f t="shared" si="118"/>
        <v>-963.51003900000001</v>
      </c>
      <c r="L297" s="89">
        <f t="shared" si="122"/>
        <v>3</v>
      </c>
      <c r="M297" s="89">
        <f t="shared" si="123"/>
        <v>-855.57000599999992</v>
      </c>
      <c r="N297" s="89"/>
      <c r="O297" s="89"/>
      <c r="P297" s="89"/>
      <c r="Q297" s="89"/>
      <c r="R297" s="89"/>
      <c r="S297" s="89"/>
    </row>
    <row r="298" spans="1:19" hidden="1" x14ac:dyDescent="0.4">
      <c r="A298" s="87" t="s">
        <v>286</v>
      </c>
      <c r="B298" s="88">
        <v>318.76998900000001</v>
      </c>
      <c r="C298" s="88">
        <v>322.64999399999999</v>
      </c>
      <c r="D298" s="88">
        <v>309.89001500000001</v>
      </c>
      <c r="E298" s="88">
        <v>322.55999800000001</v>
      </c>
      <c r="F298" s="89">
        <f t="shared" si="119"/>
        <v>3</v>
      </c>
      <c r="G298" s="89">
        <f t="shared" si="116"/>
        <v>-956.30996700000003</v>
      </c>
      <c r="H298" s="89">
        <f t="shared" si="120"/>
        <v>3</v>
      </c>
      <c r="I298" s="89">
        <f t="shared" si="121"/>
        <v>-967.67999400000008</v>
      </c>
      <c r="J298" s="89">
        <f t="shared" si="117"/>
        <v>3</v>
      </c>
      <c r="K298" s="89">
        <f t="shared" si="118"/>
        <v>-967.94998199999998</v>
      </c>
      <c r="L298" s="89">
        <f t="shared" si="122"/>
        <v>3</v>
      </c>
      <c r="M298" s="89">
        <f t="shared" si="123"/>
        <v>-929.67004500000007</v>
      </c>
      <c r="N298" s="89"/>
      <c r="O298" s="89"/>
      <c r="P298" s="89"/>
      <c r="Q298" s="89"/>
      <c r="R298" s="89"/>
      <c r="S298" s="89"/>
    </row>
    <row r="299" spans="1:19" hidden="1" x14ac:dyDescent="0.4">
      <c r="A299" s="87" t="s">
        <v>287</v>
      </c>
      <c r="B299" s="88">
        <v>322.08999599999999</v>
      </c>
      <c r="C299" s="88">
        <v>353.92999300000002</v>
      </c>
      <c r="D299" s="88">
        <v>315.11999500000002</v>
      </c>
      <c r="E299" s="88">
        <v>347.98998999999998</v>
      </c>
      <c r="F299" s="89">
        <f t="shared" si="119"/>
        <v>3</v>
      </c>
      <c r="G299" s="89">
        <f t="shared" si="116"/>
        <v>-966.26998800000001</v>
      </c>
      <c r="H299" s="89">
        <f t="shared" si="120"/>
        <v>2</v>
      </c>
      <c r="I299" s="89">
        <f t="shared" si="121"/>
        <v>-695.97997999999995</v>
      </c>
      <c r="J299" s="89">
        <f t="shared" si="117"/>
        <v>2</v>
      </c>
      <c r="K299" s="89">
        <f t="shared" si="118"/>
        <v>-707.85998600000005</v>
      </c>
      <c r="L299" s="89">
        <f t="shared" si="122"/>
        <v>3</v>
      </c>
      <c r="M299" s="89">
        <f t="shared" si="123"/>
        <v>-945.35998500000005</v>
      </c>
      <c r="N299" s="89"/>
      <c r="O299" s="89"/>
      <c r="P299" s="89">
        <f t="shared" ref="P299" si="132">INT(P$1/MAX(C288:C299))</f>
        <v>33</v>
      </c>
      <c r="Q299" s="89">
        <f t="shared" ref="Q299" si="133">P299*-MAX(C288:C299)</f>
        <v>-11679.689769000001</v>
      </c>
      <c r="R299" s="89">
        <f t="shared" ref="R299" si="134">INT(R$1/MIN(D288:D299))</f>
        <v>47</v>
      </c>
      <c r="S299" s="89">
        <f t="shared" ref="S299" si="135">R299*-MIN(D288:D299)</f>
        <v>-11950.219765</v>
      </c>
    </row>
    <row r="300" spans="1:19" hidden="1" x14ac:dyDescent="0.4">
      <c r="A300" s="87" t="s">
        <v>288</v>
      </c>
      <c r="B300" s="88">
        <v>347.73001099999999</v>
      </c>
      <c r="C300" s="88">
        <v>372.85000600000001</v>
      </c>
      <c r="D300" s="88">
        <v>346.66000400000001</v>
      </c>
      <c r="E300" s="88">
        <v>369.42001299999998</v>
      </c>
      <c r="F300" s="89">
        <f t="shared" si="119"/>
        <v>2</v>
      </c>
      <c r="G300" s="89">
        <f t="shared" si="116"/>
        <v>-695.46002199999998</v>
      </c>
      <c r="H300" s="89">
        <f t="shared" si="120"/>
        <v>2</v>
      </c>
      <c r="I300" s="89">
        <f t="shared" si="121"/>
        <v>-738.84002599999997</v>
      </c>
      <c r="J300" s="89">
        <f t="shared" si="117"/>
        <v>2</v>
      </c>
      <c r="K300" s="89">
        <f t="shared" si="118"/>
        <v>-745.70001200000002</v>
      </c>
      <c r="L300" s="89">
        <f t="shared" si="122"/>
        <v>2</v>
      </c>
      <c r="M300" s="89">
        <f t="shared" si="123"/>
        <v>-693.32000800000003</v>
      </c>
      <c r="N300" s="89"/>
      <c r="O300" s="89"/>
      <c r="P300" s="89"/>
      <c r="Q300" s="89"/>
      <c r="R300" s="89"/>
      <c r="S300" s="89"/>
    </row>
    <row r="301" spans="1:19" hidden="1" x14ac:dyDescent="0.4">
      <c r="A301" s="87" t="s">
        <v>289</v>
      </c>
      <c r="B301" s="88">
        <v>370.07000699999998</v>
      </c>
      <c r="C301" s="88">
        <v>387.98001099999999</v>
      </c>
      <c r="D301" s="88">
        <v>363.41000400000001</v>
      </c>
      <c r="E301" s="88">
        <v>383.67999300000002</v>
      </c>
      <c r="F301" s="89">
        <f t="shared" si="119"/>
        <v>2</v>
      </c>
      <c r="G301" s="89">
        <f t="shared" si="116"/>
        <v>-740.14001399999995</v>
      </c>
      <c r="H301" s="89">
        <f t="shared" si="120"/>
        <v>2</v>
      </c>
      <c r="I301" s="89">
        <f t="shared" si="121"/>
        <v>-767.35998600000005</v>
      </c>
      <c r="J301" s="89">
        <f t="shared" si="117"/>
        <v>2</v>
      </c>
      <c r="K301" s="89">
        <f t="shared" si="118"/>
        <v>-775.96002199999998</v>
      </c>
      <c r="L301" s="89">
        <f t="shared" si="122"/>
        <v>2</v>
      </c>
      <c r="M301" s="89">
        <f t="shared" si="123"/>
        <v>-726.82000800000003</v>
      </c>
      <c r="N301" s="89"/>
      <c r="O301" s="89"/>
      <c r="P301" s="89"/>
      <c r="Q301" s="89"/>
      <c r="R301" s="89"/>
      <c r="S301" s="89"/>
    </row>
    <row r="302" spans="1:19" hidden="1" x14ac:dyDescent="0.4">
      <c r="A302" s="87" t="s">
        <v>290</v>
      </c>
      <c r="B302" s="88">
        <v>382.30999800000001</v>
      </c>
      <c r="C302" s="88">
        <v>383.55999800000001</v>
      </c>
      <c r="D302" s="88">
        <v>354.709991</v>
      </c>
      <c r="E302" s="88">
        <v>377.98998999999998</v>
      </c>
      <c r="F302" s="89">
        <f t="shared" si="119"/>
        <v>2</v>
      </c>
      <c r="G302" s="89">
        <f t="shared" si="116"/>
        <v>-764.61999600000001</v>
      </c>
      <c r="H302" s="89">
        <f t="shared" si="120"/>
        <v>2</v>
      </c>
      <c r="I302" s="89">
        <f t="shared" si="121"/>
        <v>-755.97997999999995</v>
      </c>
      <c r="J302" s="89">
        <f t="shared" si="117"/>
        <v>2</v>
      </c>
      <c r="K302" s="89">
        <f t="shared" si="118"/>
        <v>-767.11999600000001</v>
      </c>
      <c r="L302" s="89">
        <f t="shared" si="122"/>
        <v>2</v>
      </c>
      <c r="M302" s="89">
        <f t="shared" si="123"/>
        <v>-709.419982</v>
      </c>
      <c r="N302" s="89"/>
      <c r="O302" s="89"/>
      <c r="P302" s="89"/>
      <c r="Q302" s="89"/>
      <c r="R302" s="89"/>
      <c r="S302" s="89"/>
    </row>
    <row r="303" spans="1:19" hidden="1" x14ac:dyDescent="0.4">
      <c r="A303" s="87" t="s">
        <v>291</v>
      </c>
      <c r="B303" s="88">
        <v>380.39999399999999</v>
      </c>
      <c r="C303" s="88">
        <v>380.82998700000002</v>
      </c>
      <c r="D303" s="88">
        <v>351.35998499999999</v>
      </c>
      <c r="E303" s="88">
        <v>358.26998900000001</v>
      </c>
      <c r="F303" s="89">
        <f t="shared" si="119"/>
        <v>2</v>
      </c>
      <c r="G303" s="89">
        <f t="shared" si="116"/>
        <v>-760.79998799999998</v>
      </c>
      <c r="H303" s="89">
        <f t="shared" si="120"/>
        <v>2</v>
      </c>
      <c r="I303" s="89">
        <f t="shared" si="121"/>
        <v>-716.53997800000002</v>
      </c>
      <c r="J303" s="89">
        <f t="shared" si="117"/>
        <v>2</v>
      </c>
      <c r="K303" s="89">
        <f t="shared" si="118"/>
        <v>-761.65997400000003</v>
      </c>
      <c r="L303" s="89">
        <f t="shared" si="122"/>
        <v>2</v>
      </c>
      <c r="M303" s="89">
        <f t="shared" si="123"/>
        <v>-702.71996999999999</v>
      </c>
      <c r="N303" s="89"/>
      <c r="O303" s="89"/>
      <c r="P303" s="89"/>
      <c r="Q303" s="89"/>
      <c r="R303" s="89"/>
      <c r="S303" s="89"/>
    </row>
    <row r="304" spans="1:19" hidden="1" x14ac:dyDescent="0.4">
      <c r="A304" s="87" t="s">
        <v>292</v>
      </c>
      <c r="B304" s="88">
        <v>358.540009</v>
      </c>
      <c r="C304" s="88">
        <v>373.73998999999998</v>
      </c>
      <c r="D304" s="88">
        <v>342.35000600000001</v>
      </c>
      <c r="E304" s="88">
        <v>350.86999500000002</v>
      </c>
      <c r="F304" s="89">
        <f t="shared" si="119"/>
        <v>2</v>
      </c>
      <c r="G304" s="89">
        <f t="shared" si="116"/>
        <v>-717.080018</v>
      </c>
      <c r="H304" s="89">
        <f t="shared" si="120"/>
        <v>2</v>
      </c>
      <c r="I304" s="89">
        <f t="shared" si="121"/>
        <v>-701.73999000000003</v>
      </c>
      <c r="J304" s="89">
        <f t="shared" si="117"/>
        <v>2</v>
      </c>
      <c r="K304" s="89">
        <f t="shared" si="118"/>
        <v>-747.47997999999995</v>
      </c>
      <c r="L304" s="89">
        <f t="shared" si="122"/>
        <v>2</v>
      </c>
      <c r="M304" s="89">
        <f t="shared" si="123"/>
        <v>-684.70001200000002</v>
      </c>
      <c r="N304" s="89"/>
      <c r="O304" s="89"/>
      <c r="P304" s="89"/>
      <c r="Q304" s="89"/>
      <c r="R304" s="89"/>
      <c r="S304" s="89"/>
    </row>
    <row r="305" spans="1:19" hidden="1" x14ac:dyDescent="0.4">
      <c r="A305" s="87" t="s">
        <v>293</v>
      </c>
      <c r="B305" s="88">
        <v>351.72000100000002</v>
      </c>
      <c r="C305" s="88">
        <v>394.14001500000001</v>
      </c>
      <c r="D305" s="88">
        <v>351.61999500000002</v>
      </c>
      <c r="E305" s="88">
        <v>388.82998700000002</v>
      </c>
      <c r="F305" s="89">
        <f t="shared" si="119"/>
        <v>2</v>
      </c>
      <c r="G305" s="89">
        <f t="shared" si="116"/>
        <v>-703.44000200000005</v>
      </c>
      <c r="H305" s="89">
        <f t="shared" si="120"/>
        <v>2</v>
      </c>
      <c r="I305" s="89">
        <f t="shared" si="121"/>
        <v>-777.65997400000003</v>
      </c>
      <c r="J305" s="89">
        <f t="shared" si="117"/>
        <v>2</v>
      </c>
      <c r="K305" s="89">
        <f t="shared" si="118"/>
        <v>-788.28003000000001</v>
      </c>
      <c r="L305" s="89">
        <f t="shared" si="122"/>
        <v>2</v>
      </c>
      <c r="M305" s="89">
        <f t="shared" si="123"/>
        <v>-703.23999000000003</v>
      </c>
      <c r="N305" s="89"/>
      <c r="O305" s="89"/>
      <c r="P305" s="89"/>
      <c r="Q305" s="89"/>
      <c r="R305" s="89"/>
      <c r="S305" s="89"/>
    </row>
    <row r="306" spans="1:19" hidden="1" x14ac:dyDescent="0.4">
      <c r="A306" s="87" t="s">
        <v>294</v>
      </c>
      <c r="B306" s="88">
        <v>387.75</v>
      </c>
      <c r="C306" s="88">
        <v>412.92001299999998</v>
      </c>
      <c r="D306" s="88">
        <v>382.66000400000001</v>
      </c>
      <c r="E306" s="88">
        <v>409.51998900000001</v>
      </c>
      <c r="F306" s="89">
        <f t="shared" si="119"/>
        <v>2</v>
      </c>
      <c r="G306" s="89">
        <f t="shared" si="116"/>
        <v>-775.5</v>
      </c>
      <c r="H306" s="89">
        <f t="shared" si="120"/>
        <v>2</v>
      </c>
      <c r="I306" s="89">
        <f t="shared" si="121"/>
        <v>-819.03997800000002</v>
      </c>
      <c r="J306" s="89">
        <f t="shared" si="117"/>
        <v>2</v>
      </c>
      <c r="K306" s="89">
        <f t="shared" si="118"/>
        <v>-825.84002599999997</v>
      </c>
      <c r="L306" s="89">
        <f t="shared" si="122"/>
        <v>2</v>
      </c>
      <c r="M306" s="89">
        <f t="shared" si="123"/>
        <v>-765.32000800000003</v>
      </c>
      <c r="N306" s="89"/>
      <c r="O306" s="89"/>
      <c r="P306" s="89"/>
      <c r="Q306" s="89"/>
      <c r="R306" s="89"/>
      <c r="S306" s="89"/>
    </row>
    <row r="307" spans="1:19" s="115" customFormat="1" x14ac:dyDescent="0.4">
      <c r="A307" s="112"/>
      <c r="B307" s="113"/>
      <c r="C307" s="113"/>
      <c r="D307" s="113" t="s">
        <v>409</v>
      </c>
      <c r="E307" s="113"/>
      <c r="F307" s="114"/>
      <c r="G307" s="114"/>
      <c r="H307" s="114"/>
      <c r="I307" s="114"/>
      <c r="J307" s="114" t="s">
        <v>409</v>
      </c>
      <c r="K307" s="114"/>
      <c r="L307" s="114"/>
      <c r="M307" s="114"/>
      <c r="N307" s="114"/>
      <c r="O307" s="114"/>
      <c r="P307" s="114"/>
      <c r="Q307" s="114"/>
      <c r="R307" s="114"/>
      <c r="S307" s="114"/>
    </row>
    <row r="308" spans="1:19" x14ac:dyDescent="0.4">
      <c r="A308" s="87" t="s">
        <v>295</v>
      </c>
      <c r="B308" s="88">
        <v>405.83999599999999</v>
      </c>
      <c r="C308" s="88">
        <v>429.85</v>
      </c>
      <c r="D308" s="88">
        <v>395.34</v>
      </c>
      <c r="E308" s="88">
        <v>416.97</v>
      </c>
      <c r="F308" s="89">
        <f t="shared" si="119"/>
        <v>2</v>
      </c>
      <c r="G308" s="89">
        <f t="shared" si="116"/>
        <v>-811.67999199999997</v>
      </c>
      <c r="H308" s="89">
        <f t="shared" si="120"/>
        <v>2</v>
      </c>
      <c r="I308" s="89">
        <f t="shared" si="121"/>
        <v>-833.94</v>
      </c>
      <c r="J308" s="89">
        <f t="shared" si="117"/>
        <v>2</v>
      </c>
      <c r="K308" s="89">
        <f t="shared" si="118"/>
        <v>-859.7</v>
      </c>
      <c r="L308" s="89">
        <f t="shared" si="122"/>
        <v>2</v>
      </c>
      <c r="M308" s="89">
        <f t="shared" si="123"/>
        <v>-790.68</v>
      </c>
      <c r="N308" s="89"/>
      <c r="O308" s="89"/>
      <c r="P308" s="89"/>
      <c r="Q308" s="89"/>
      <c r="R308" s="89"/>
      <c r="S308" s="89"/>
    </row>
    <row r="309" spans="1:19" x14ac:dyDescent="0.4">
      <c r="A309" s="87" t="s">
        <v>303</v>
      </c>
      <c r="B309" s="88">
        <v>418.79</v>
      </c>
      <c r="C309" s="88">
        <v>440.59</v>
      </c>
      <c r="D309" s="88">
        <v>417.81</v>
      </c>
      <c r="E309" s="88">
        <v>439</v>
      </c>
      <c r="F309" s="89">
        <f t="shared" si="119"/>
        <v>2</v>
      </c>
      <c r="G309" s="89">
        <f t="shared" si="116"/>
        <v>-837.58</v>
      </c>
      <c r="H309" s="89">
        <f t="shared" si="120"/>
        <v>2</v>
      </c>
      <c r="I309" s="89">
        <f t="shared" si="121"/>
        <v>-878</v>
      </c>
      <c r="J309" s="89">
        <f t="shared" si="117"/>
        <v>2</v>
      </c>
      <c r="K309" s="89">
        <f t="shared" si="118"/>
        <v>-881.18</v>
      </c>
      <c r="L309" s="89">
        <f t="shared" si="122"/>
        <v>2</v>
      </c>
      <c r="M309" s="89">
        <f t="shared" si="123"/>
        <v>-835.62</v>
      </c>
      <c r="N309" s="89"/>
      <c r="O309" s="89"/>
      <c r="P309" s="89"/>
      <c r="Q309" s="89"/>
      <c r="R309" s="89"/>
      <c r="S309" s="89"/>
    </row>
    <row r="310" spans="1:19" x14ac:dyDescent="0.4">
      <c r="A310" s="87" t="s">
        <v>304</v>
      </c>
      <c r="B310" s="88">
        <v>439.9</v>
      </c>
      <c r="C310" s="88">
        <v>449.34</v>
      </c>
      <c r="D310" s="88">
        <v>432.74</v>
      </c>
      <c r="E310" s="88">
        <v>444.01</v>
      </c>
      <c r="F310" s="89">
        <f t="shared" si="119"/>
        <v>2</v>
      </c>
      <c r="G310" s="89">
        <f t="shared" si="116"/>
        <v>-879.8</v>
      </c>
      <c r="H310" s="89">
        <f t="shared" si="120"/>
        <v>2</v>
      </c>
      <c r="I310" s="89">
        <f t="shared" si="121"/>
        <v>-888.02</v>
      </c>
      <c r="J310" s="89">
        <f t="shared" si="117"/>
        <v>2</v>
      </c>
      <c r="K310" s="89">
        <f t="shared" si="118"/>
        <v>-898.68</v>
      </c>
      <c r="L310" s="89">
        <f t="shared" si="122"/>
        <v>2</v>
      </c>
      <c r="M310" s="89">
        <f t="shared" si="123"/>
        <v>-865.48</v>
      </c>
      <c r="N310" s="89"/>
      <c r="O310" s="89"/>
      <c r="P310" s="89"/>
      <c r="Q310" s="89"/>
      <c r="R310" s="89"/>
      <c r="S310" s="89"/>
    </row>
    <row r="311" spans="1:19" x14ac:dyDescent="0.4">
      <c r="A311" s="87" t="s">
        <v>305</v>
      </c>
      <c r="B311" s="88">
        <v>444.97</v>
      </c>
      <c r="C311" s="88">
        <v>447.53</v>
      </c>
      <c r="D311" s="88">
        <v>143.07</v>
      </c>
      <c r="E311" s="88">
        <v>424.59</v>
      </c>
      <c r="F311" s="89">
        <f t="shared" si="119"/>
        <v>2</v>
      </c>
      <c r="G311" s="89">
        <f t="shared" si="116"/>
        <v>-889.94</v>
      </c>
      <c r="H311" s="89">
        <f t="shared" si="120"/>
        <v>2</v>
      </c>
      <c r="I311" s="89">
        <f t="shared" si="121"/>
        <v>-849.18</v>
      </c>
      <c r="J311" s="89">
        <f t="shared" si="117"/>
        <v>2</v>
      </c>
      <c r="K311" s="89">
        <f t="shared" si="118"/>
        <v>-895.06</v>
      </c>
      <c r="L311" s="89">
        <f t="shared" si="122"/>
        <v>6</v>
      </c>
      <c r="M311" s="89">
        <f t="shared" si="123"/>
        <v>-858.42</v>
      </c>
      <c r="N311" s="89"/>
      <c r="O311" s="89"/>
      <c r="P311" s="89"/>
      <c r="Q311" s="89"/>
      <c r="R311" s="89"/>
      <c r="S311" s="89"/>
    </row>
    <row r="312" spans="1:19" x14ac:dyDescent="0.4">
      <c r="A312" s="87" t="s">
        <v>306</v>
      </c>
      <c r="B312" s="88">
        <v>423.15</v>
      </c>
      <c r="C312" s="88">
        <v>460.58</v>
      </c>
      <c r="D312" s="88">
        <v>420.63</v>
      </c>
      <c r="E312" s="88">
        <v>451.55</v>
      </c>
      <c r="F312" s="89">
        <f t="shared" si="119"/>
        <v>2</v>
      </c>
      <c r="G312" s="89">
        <f>-F312*B312</f>
        <v>-846.3</v>
      </c>
      <c r="H312" s="89">
        <f t="shared" si="120"/>
        <v>2</v>
      </c>
      <c r="I312" s="89">
        <f t="shared" si="121"/>
        <v>-903.1</v>
      </c>
      <c r="J312" s="89">
        <f>INT(J$1/$C312)</f>
        <v>2</v>
      </c>
      <c r="K312" s="89">
        <f>-J312*$C312</f>
        <v>-921.16</v>
      </c>
      <c r="L312" s="89">
        <f t="shared" si="122"/>
        <v>2</v>
      </c>
      <c r="M312" s="89">
        <f t="shared" si="123"/>
        <v>-841.26</v>
      </c>
      <c r="N312" s="89"/>
      <c r="O312" s="89"/>
      <c r="P312" s="89">
        <f t="shared" ref="P312" si="136">INT(P$1/MAX(C300:C312))</f>
        <v>26</v>
      </c>
      <c r="Q312" s="89">
        <f>P312*-MAX(C300:C312)</f>
        <v>-11975.08</v>
      </c>
      <c r="R312" s="89">
        <f t="shared" ref="R312" si="137">INT(R$1/MIN(D300:D312))</f>
        <v>83</v>
      </c>
      <c r="S312" s="89">
        <f>R312*-MIN(D300:D312)</f>
        <v>-11874.81</v>
      </c>
    </row>
    <row r="313" spans="1:19" x14ac:dyDescent="0.4">
      <c r="A313" s="90">
        <v>45443</v>
      </c>
      <c r="B313" s="192" t="s">
        <v>312</v>
      </c>
      <c r="C313" s="193"/>
      <c r="D313" s="193"/>
      <c r="E313" s="194"/>
      <c r="F313" s="89">
        <f>F2</f>
        <v>4602</v>
      </c>
      <c r="G313" s="89">
        <f>F5</f>
        <v>2078033.1</v>
      </c>
      <c r="H313" s="89">
        <f>H2</f>
        <v>4589</v>
      </c>
      <c r="I313" s="89">
        <f>H5</f>
        <v>2072162.95</v>
      </c>
      <c r="J313" s="89">
        <f>J2</f>
        <v>4352</v>
      </c>
      <c r="K313" s="89">
        <f>J5</f>
        <v>1965145.6</v>
      </c>
      <c r="L313" s="89">
        <f>L2</f>
        <v>4891</v>
      </c>
      <c r="M313" s="89">
        <f>L5</f>
        <v>2208531.0500000003</v>
      </c>
      <c r="N313" s="89">
        <f>N2</f>
        <v>5206</v>
      </c>
      <c r="O313" s="89">
        <f>N5</f>
        <v>2350769.3000000003</v>
      </c>
      <c r="P313" s="89">
        <f>P2</f>
        <v>4052</v>
      </c>
      <c r="Q313" s="89">
        <f>P5</f>
        <v>1829680.6</v>
      </c>
      <c r="R313" s="89">
        <f>R2</f>
        <v>6324</v>
      </c>
      <c r="S313" s="89">
        <f>R5</f>
        <v>2855602.2</v>
      </c>
    </row>
  </sheetData>
  <sheetProtection password="ECAD" sheet="1" objects="1" scenarios="1"/>
  <mergeCells count="84">
    <mergeCell ref="N9:O9"/>
    <mergeCell ref="N10:O10"/>
    <mergeCell ref="B313:E313"/>
    <mergeCell ref="P10:Q10"/>
    <mergeCell ref="R10:S10"/>
    <mergeCell ref="P9:Q9"/>
    <mergeCell ref="R9:S9"/>
    <mergeCell ref="J10:K10"/>
    <mergeCell ref="H10:I10"/>
    <mergeCell ref="N1:O1"/>
    <mergeCell ref="N2:O2"/>
    <mergeCell ref="N3:O3"/>
    <mergeCell ref="N4:O4"/>
    <mergeCell ref="N5:O5"/>
    <mergeCell ref="N6:O6"/>
    <mergeCell ref="N7:O7"/>
    <mergeCell ref="N8:O8"/>
    <mergeCell ref="P7:Q7"/>
    <mergeCell ref="R7:S7"/>
    <mergeCell ref="P8:Q8"/>
    <mergeCell ref="R8:S8"/>
    <mergeCell ref="P4:Q4"/>
    <mergeCell ref="R4:S4"/>
    <mergeCell ref="P5:Q5"/>
    <mergeCell ref="R5:S5"/>
    <mergeCell ref="P6:Q6"/>
    <mergeCell ref="R6:S6"/>
    <mergeCell ref="R1:S1"/>
    <mergeCell ref="P2:Q2"/>
    <mergeCell ref="R2:S2"/>
    <mergeCell ref="P3:Q3"/>
    <mergeCell ref="R3:S3"/>
    <mergeCell ref="P1:Q1"/>
    <mergeCell ref="L1:M1"/>
    <mergeCell ref="L2:M2"/>
    <mergeCell ref="L3:M3"/>
    <mergeCell ref="L4:M4"/>
    <mergeCell ref="L5:M5"/>
    <mergeCell ref="L6:M6"/>
    <mergeCell ref="L7:M7"/>
    <mergeCell ref="L8:M8"/>
    <mergeCell ref="L9:M9"/>
    <mergeCell ref="L10:M10"/>
    <mergeCell ref="J6:K6"/>
    <mergeCell ref="H1:I1"/>
    <mergeCell ref="H2:I2"/>
    <mergeCell ref="H3:I3"/>
    <mergeCell ref="H4:I4"/>
    <mergeCell ref="H5:I5"/>
    <mergeCell ref="H6:I6"/>
    <mergeCell ref="J1:K1"/>
    <mergeCell ref="J2:K2"/>
    <mergeCell ref="J3:K3"/>
    <mergeCell ref="J4:K4"/>
    <mergeCell ref="J5:K5"/>
    <mergeCell ref="J7:K7"/>
    <mergeCell ref="J8:K8"/>
    <mergeCell ref="J9:K9"/>
    <mergeCell ref="A8:E8"/>
    <mergeCell ref="A9:E9"/>
    <mergeCell ref="H7:I7"/>
    <mergeCell ref="H8:I8"/>
    <mergeCell ref="H9:I9"/>
    <mergeCell ref="A10:A11"/>
    <mergeCell ref="B10:B11"/>
    <mergeCell ref="C10:C11"/>
    <mergeCell ref="D10:D11"/>
    <mergeCell ref="E10:E11"/>
    <mergeCell ref="A1:E1"/>
    <mergeCell ref="F1:G1"/>
    <mergeCell ref="F10:G10"/>
    <mergeCell ref="F3:G3"/>
    <mergeCell ref="F2:G2"/>
    <mergeCell ref="F4:G4"/>
    <mergeCell ref="F5:G5"/>
    <mergeCell ref="F6:G6"/>
    <mergeCell ref="A3:E3"/>
    <mergeCell ref="A2:E2"/>
    <mergeCell ref="A4:E4"/>
    <mergeCell ref="A6:E6"/>
    <mergeCell ref="A7:E7"/>
    <mergeCell ref="F7:G7"/>
    <mergeCell ref="F8:G8"/>
    <mergeCell ref="F9:G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12"/>
  <sheetViews>
    <sheetView zoomScale="85" zoomScaleNormal="85" workbookViewId="0">
      <pane xSplit="5" ySplit="10" topLeftCell="F11" activePane="bottomRight" state="frozen"/>
      <selection pane="topRight" activeCell="F1" sqref="F1"/>
      <selection pane="bottomLeft" activeCell="A8" sqref="A8"/>
      <selection pane="bottomRight" activeCell="L5" sqref="L5"/>
    </sheetView>
  </sheetViews>
  <sheetFormatPr defaultRowHeight="17" x14ac:dyDescent="0.4"/>
  <cols>
    <col min="1" max="1" width="10.81640625" style="93" bestFit="1" customWidth="1"/>
    <col min="2" max="5" width="8.26953125" style="88" bestFit="1" customWidth="1"/>
    <col min="6" max="12" width="13.6328125" style="78" bestFit="1" customWidth="1"/>
    <col min="13" max="16384" width="8.7265625" style="1"/>
  </cols>
  <sheetData>
    <row r="1" spans="1:12" x14ac:dyDescent="0.4">
      <c r="A1" s="195" t="s">
        <v>333</v>
      </c>
      <c r="B1" s="195"/>
      <c r="C1" s="195"/>
      <c r="D1" s="195"/>
      <c r="E1" s="195"/>
      <c r="F1" s="94" t="s">
        <v>335</v>
      </c>
      <c r="G1" s="94" t="s">
        <v>335</v>
      </c>
      <c r="H1" s="94" t="s">
        <v>335</v>
      </c>
      <c r="I1" s="94" t="s">
        <v>335</v>
      </c>
      <c r="J1" s="94" t="s">
        <v>336</v>
      </c>
      <c r="K1" s="94" t="s">
        <v>337</v>
      </c>
      <c r="L1" s="94" t="s">
        <v>334</v>
      </c>
    </row>
    <row r="2" spans="1:12" x14ac:dyDescent="0.4">
      <c r="A2" s="174" t="s">
        <v>310</v>
      </c>
      <c r="B2" s="175"/>
      <c r="C2" s="175"/>
      <c r="D2" s="175"/>
      <c r="E2" s="176"/>
      <c r="F2" s="89">
        <f t="shared" ref="F2:K2" si="0">SUM(F11:F311)</f>
        <v>-283308.07512800005</v>
      </c>
      <c r="G2" s="89">
        <f t="shared" si="0"/>
        <v>-297149.60593599989</v>
      </c>
      <c r="H2" s="89">
        <f t="shared" si="0"/>
        <v>-267601.54740799998</v>
      </c>
      <c r="I2" s="89">
        <f t="shared" si="0"/>
        <v>-285933.78931999992</v>
      </c>
      <c r="J2" s="89">
        <f t="shared" si="0"/>
        <v>-290947.07166000002</v>
      </c>
      <c r="K2" s="89">
        <f t="shared" si="0"/>
        <v>-292386.63907199999</v>
      </c>
      <c r="L2" s="89">
        <f>-E11*L3</f>
        <v>-276600</v>
      </c>
    </row>
    <row r="3" spans="1:12" x14ac:dyDescent="0.4">
      <c r="A3" s="174" t="s">
        <v>318</v>
      </c>
      <c r="B3" s="175"/>
      <c r="C3" s="175"/>
      <c r="D3" s="175"/>
      <c r="E3" s="176"/>
      <c r="F3" s="46">
        <f>COUNT(F11:F311)*F$1</f>
        <v>2400</v>
      </c>
      <c r="G3" s="46">
        <f t="shared" ref="G3:I3" si="1">COUNT(G11:G311)*G$1</f>
        <v>2400</v>
      </c>
      <c r="H3" s="46">
        <f t="shared" si="1"/>
        <v>2400</v>
      </c>
      <c r="I3" s="46">
        <f t="shared" si="1"/>
        <v>2400</v>
      </c>
      <c r="J3" s="46">
        <f>COUNT(J11:J311)*12*J$1</f>
        <v>2100</v>
      </c>
      <c r="K3" s="46">
        <f>COUNT(K11:K311)*12*K$1</f>
        <v>3300</v>
      </c>
      <c r="L3" s="46">
        <f>L1*1</f>
        <v>4800</v>
      </c>
    </row>
    <row r="4" spans="1:12" x14ac:dyDescent="0.4">
      <c r="A4" s="174" t="s">
        <v>311</v>
      </c>
      <c r="B4" s="175"/>
      <c r="C4" s="175"/>
      <c r="D4" s="175"/>
      <c r="E4" s="176"/>
      <c r="F4" s="89">
        <f>F2/F3</f>
        <v>-118.04503130333336</v>
      </c>
      <c r="G4" s="89">
        <f>G2/G3</f>
        <v>-123.81233580666662</v>
      </c>
      <c r="H4" s="89">
        <f t="shared" ref="H4:I4" si="2">H2/H3</f>
        <v>-111.50064475333333</v>
      </c>
      <c r="I4" s="89">
        <f t="shared" si="2"/>
        <v>-119.1390788833333</v>
      </c>
      <c r="J4" s="89">
        <f t="shared" ref="J4" si="3">J2/J3</f>
        <v>-138.54622460000002</v>
      </c>
      <c r="K4" s="89">
        <f t="shared" ref="K4" si="4">K2/K3</f>
        <v>-88.602011840000003</v>
      </c>
      <c r="L4" s="89">
        <f>L2/L3</f>
        <v>-57.625</v>
      </c>
    </row>
    <row r="5" spans="1:12" x14ac:dyDescent="0.4">
      <c r="A5" s="174" t="s">
        <v>312</v>
      </c>
      <c r="B5" s="175"/>
      <c r="C5" s="175"/>
      <c r="D5" s="175"/>
      <c r="E5" s="176"/>
      <c r="F5" s="89">
        <f>$E$311*F3</f>
        <v>1083720</v>
      </c>
      <c r="G5" s="89">
        <f>$E$311*G3</f>
        <v>1083720</v>
      </c>
      <c r="H5" s="89">
        <f>$E$311*H3</f>
        <v>1083720</v>
      </c>
      <c r="I5" s="89">
        <f>$E$311*I3</f>
        <v>1083720</v>
      </c>
      <c r="J5" s="89">
        <f t="shared" ref="J5:K5" si="5">$E$311*J3</f>
        <v>948255</v>
      </c>
      <c r="K5" s="89">
        <f t="shared" si="5"/>
        <v>1490115</v>
      </c>
      <c r="L5" s="89">
        <f>$E$311*L3</f>
        <v>2167440</v>
      </c>
    </row>
    <row r="6" spans="1:12" x14ac:dyDescent="0.4">
      <c r="A6" s="174" t="s">
        <v>313</v>
      </c>
      <c r="B6" s="175"/>
      <c r="C6" s="175"/>
      <c r="D6" s="175"/>
      <c r="E6" s="176"/>
      <c r="F6" s="89">
        <f>F5+F2</f>
        <v>800411.924872</v>
      </c>
      <c r="G6" s="89">
        <f t="shared" ref="G6:L6" si="6">G5+G2</f>
        <v>786570.39406400011</v>
      </c>
      <c r="H6" s="89">
        <f t="shared" si="6"/>
        <v>816118.45259200002</v>
      </c>
      <c r="I6" s="89">
        <f t="shared" si="6"/>
        <v>797786.21068000002</v>
      </c>
      <c r="J6" s="89">
        <f t="shared" si="6"/>
        <v>657307.92833999998</v>
      </c>
      <c r="K6" s="89">
        <f t="shared" si="6"/>
        <v>1197728.360928</v>
      </c>
      <c r="L6" s="89">
        <f t="shared" si="6"/>
        <v>1890840</v>
      </c>
    </row>
    <row r="7" spans="1:12" x14ac:dyDescent="0.4">
      <c r="A7" s="174" t="s">
        <v>314</v>
      </c>
      <c r="B7" s="175"/>
      <c r="C7" s="175"/>
      <c r="D7" s="175"/>
      <c r="E7" s="176"/>
      <c r="F7" s="41">
        <f>F6/-F2</f>
        <v>2.8252351243795988</v>
      </c>
      <c r="G7" s="41">
        <f t="shared" ref="G7:L7" si="7">G6/-G2</f>
        <v>2.6470517825065252</v>
      </c>
      <c r="H7" s="41">
        <f t="shared" si="7"/>
        <v>3.0497523668938324</v>
      </c>
      <c r="I7" s="41">
        <f t="shared" si="7"/>
        <v>2.7901082015430001</v>
      </c>
      <c r="J7" s="41">
        <f t="shared" si="7"/>
        <v>2.2592010450207529</v>
      </c>
      <c r="K7" s="41">
        <f t="shared" si="7"/>
        <v>4.0963854050562833</v>
      </c>
      <c r="L7" s="41">
        <f t="shared" si="7"/>
        <v>6.8360086767895876</v>
      </c>
    </row>
    <row r="8" spans="1:12" x14ac:dyDescent="0.4">
      <c r="A8" s="174" t="s">
        <v>319</v>
      </c>
      <c r="B8" s="175"/>
      <c r="C8" s="175"/>
      <c r="D8" s="175"/>
      <c r="E8" s="176"/>
      <c r="F8" s="91">
        <f t="shared" ref="F8:L8" si="8">(1+F7)^(1/25)-1</f>
        <v>5.5130860297501139E-2</v>
      </c>
      <c r="G8" s="91">
        <f t="shared" si="8"/>
        <v>5.311955520698497E-2</v>
      </c>
      <c r="H8" s="91">
        <f t="shared" si="8"/>
        <v>5.7540817614991413E-2</v>
      </c>
      <c r="I8" s="91">
        <f t="shared" si="8"/>
        <v>5.4741573313108693E-2</v>
      </c>
      <c r="J8" s="91">
        <f t="shared" si="8"/>
        <v>4.8393805041561322E-2</v>
      </c>
      <c r="K8" s="91">
        <f t="shared" si="8"/>
        <v>6.7309783808960466E-2</v>
      </c>
      <c r="L8" s="91">
        <f t="shared" si="8"/>
        <v>8.5834900133813452E-2</v>
      </c>
    </row>
    <row r="9" spans="1:12" x14ac:dyDescent="0.4">
      <c r="A9" s="174" t="s">
        <v>315</v>
      </c>
      <c r="B9" s="175"/>
      <c r="C9" s="175"/>
      <c r="D9" s="175"/>
      <c r="E9" s="176"/>
      <c r="F9" s="91">
        <f>XIRR(F11:F312,$A11:$A312)</f>
        <v>0.13197912573814388</v>
      </c>
      <c r="G9" s="91">
        <f t="shared" ref="G9:L9" si="9">XIRR(G11:G312,$A11:$A312)</f>
        <v>0.12753124833106991</v>
      </c>
      <c r="H9" s="91">
        <f t="shared" si="9"/>
        <v>0.13725405335426333</v>
      </c>
      <c r="I9" s="91">
        <f t="shared" si="9"/>
        <v>0.13181607127189635</v>
      </c>
      <c r="J9" s="91">
        <f t="shared" si="9"/>
        <v>0.11154993176460265</v>
      </c>
      <c r="K9" s="91">
        <f t="shared" si="9"/>
        <v>0.1500238597393036</v>
      </c>
      <c r="L9" s="91">
        <f t="shared" si="9"/>
        <v>8.5776147246360762E-2</v>
      </c>
    </row>
    <row r="10" spans="1:12" s="2" customFormat="1" x14ac:dyDescent="0.4">
      <c r="A10" s="92" t="s">
        <v>296</v>
      </c>
      <c r="B10" s="27" t="s">
        <v>297</v>
      </c>
      <c r="C10" s="27" t="s">
        <v>298</v>
      </c>
      <c r="D10" s="27" t="s">
        <v>299</v>
      </c>
      <c r="E10" s="27" t="s">
        <v>307</v>
      </c>
      <c r="F10" s="27" t="s">
        <v>320</v>
      </c>
      <c r="G10" s="27" t="s">
        <v>321</v>
      </c>
      <c r="H10" s="27" t="s">
        <v>308</v>
      </c>
      <c r="I10" s="27" t="s">
        <v>309</v>
      </c>
      <c r="J10" s="27" t="s">
        <v>316</v>
      </c>
      <c r="K10" s="27" t="s">
        <v>317</v>
      </c>
      <c r="L10" s="27" t="s">
        <v>323</v>
      </c>
    </row>
    <row r="11" spans="1:12" x14ac:dyDescent="0.4">
      <c r="A11" s="93" t="s">
        <v>0</v>
      </c>
      <c r="B11" s="88">
        <v>51.9375</v>
      </c>
      <c r="C11" s="88">
        <v>59.9375</v>
      </c>
      <c r="D11" s="88">
        <v>49.570312999999999</v>
      </c>
      <c r="E11" s="88">
        <v>57.625</v>
      </c>
      <c r="F11" s="89">
        <f>-B11*F$1</f>
        <v>-415.5</v>
      </c>
      <c r="G11" s="89">
        <f t="shared" ref="G11:I11" si="10">-C11*G$1</f>
        <v>-479.5</v>
      </c>
      <c r="H11" s="89">
        <f t="shared" si="10"/>
        <v>-396.56250399999999</v>
      </c>
      <c r="I11" s="89">
        <f t="shared" si="10"/>
        <v>-461</v>
      </c>
      <c r="J11" s="89">
        <f>-MAX(C11:C22)*12*J$1</f>
        <v>-10122</v>
      </c>
      <c r="K11" s="89">
        <f>-MIN(D11:D22)*12*K$1</f>
        <v>-6543.2813159999996</v>
      </c>
      <c r="L11" s="89">
        <f>L2</f>
        <v>-276600</v>
      </c>
    </row>
    <row r="12" spans="1:12" x14ac:dyDescent="0.4">
      <c r="A12" s="93" t="s">
        <v>1</v>
      </c>
      <c r="B12" s="88">
        <v>57.8125</v>
      </c>
      <c r="C12" s="88">
        <v>61.71875</v>
      </c>
      <c r="D12" s="88">
        <v>55.78125</v>
      </c>
      <c r="E12" s="88">
        <v>56.59375</v>
      </c>
      <c r="F12" s="89">
        <f t="shared" ref="F12:F23" si="11">-B12*F$1</f>
        <v>-462.5</v>
      </c>
      <c r="G12" s="89">
        <f t="shared" ref="G12:G23" si="12">-C12*G$1</f>
        <v>-493.75</v>
      </c>
      <c r="H12" s="89">
        <f t="shared" ref="H12:H23" si="13">-D12*H$1</f>
        <v>-446.25</v>
      </c>
      <c r="I12" s="89">
        <f t="shared" ref="I12:I23" si="14">-E12*I$1</f>
        <v>-452.75</v>
      </c>
      <c r="J12" s="89"/>
      <c r="K12" s="89"/>
    </row>
    <row r="13" spans="1:12" x14ac:dyDescent="0.4">
      <c r="A13" s="93" t="s">
        <v>2</v>
      </c>
      <c r="B13" s="88">
        <v>56.6875</v>
      </c>
      <c r="C13" s="88">
        <v>61.75</v>
      </c>
      <c r="D13" s="88">
        <v>52.9375</v>
      </c>
      <c r="E13" s="88">
        <v>59.6875</v>
      </c>
      <c r="F13" s="89">
        <f t="shared" si="11"/>
        <v>-453.5</v>
      </c>
      <c r="G13" s="89">
        <f t="shared" si="12"/>
        <v>-494</v>
      </c>
      <c r="H13" s="89">
        <f t="shared" si="13"/>
        <v>-423.5</v>
      </c>
      <c r="I13" s="89">
        <f t="shared" si="14"/>
        <v>-477.5</v>
      </c>
      <c r="J13" s="89"/>
      <c r="K13" s="89"/>
    </row>
    <row r="14" spans="1:12" x14ac:dyDescent="0.4">
      <c r="A14" s="93" t="s">
        <v>3</v>
      </c>
      <c r="B14" s="88">
        <v>60.0625</v>
      </c>
      <c r="C14" s="88">
        <v>63.75</v>
      </c>
      <c r="D14" s="88">
        <v>58.625</v>
      </c>
      <c r="E14" s="88">
        <v>60.1875</v>
      </c>
      <c r="F14" s="89">
        <f t="shared" si="11"/>
        <v>-480.5</v>
      </c>
      <c r="G14" s="89">
        <f t="shared" si="12"/>
        <v>-510</v>
      </c>
      <c r="H14" s="89">
        <f t="shared" si="13"/>
        <v>-469</v>
      </c>
      <c r="I14" s="89">
        <f t="shared" si="14"/>
        <v>-481.5</v>
      </c>
      <c r="J14" s="89"/>
      <c r="K14" s="89"/>
    </row>
    <row r="15" spans="1:12" x14ac:dyDescent="0.4">
      <c r="A15" s="93" t="s">
        <v>4</v>
      </c>
      <c r="B15" s="88">
        <v>59.375</v>
      </c>
      <c r="C15" s="88">
        <v>66.25</v>
      </c>
      <c r="D15" s="88">
        <v>57.414062999999999</v>
      </c>
      <c r="E15" s="88">
        <v>65.75</v>
      </c>
      <c r="F15" s="89">
        <f t="shared" si="11"/>
        <v>-475</v>
      </c>
      <c r="G15" s="89">
        <f t="shared" si="12"/>
        <v>-530</v>
      </c>
      <c r="H15" s="89">
        <f t="shared" si="13"/>
        <v>-459.31250399999999</v>
      </c>
      <c r="I15" s="89">
        <f t="shared" si="14"/>
        <v>-526</v>
      </c>
      <c r="J15" s="89"/>
      <c r="K15" s="89"/>
    </row>
    <row r="16" spans="1:12" x14ac:dyDescent="0.4">
      <c r="A16" s="93" t="s">
        <v>5</v>
      </c>
      <c r="B16" s="88">
        <v>65.75</v>
      </c>
      <c r="C16" s="88">
        <v>78.78125</v>
      </c>
      <c r="D16" s="88">
        <v>65.195312999999999</v>
      </c>
      <c r="E16" s="88">
        <v>73.5</v>
      </c>
      <c r="F16" s="89">
        <f t="shared" si="11"/>
        <v>-526</v>
      </c>
      <c r="G16" s="89">
        <f t="shared" si="12"/>
        <v>-630.25</v>
      </c>
      <c r="H16" s="89">
        <f t="shared" si="13"/>
        <v>-521.56250399999999</v>
      </c>
      <c r="I16" s="89">
        <f t="shared" si="14"/>
        <v>-588</v>
      </c>
      <c r="J16" s="89"/>
      <c r="K16" s="89"/>
    </row>
    <row r="17" spans="1:12" x14ac:dyDescent="0.4">
      <c r="A17" s="93" t="s">
        <v>6</v>
      </c>
      <c r="B17" s="88">
        <v>74.3125</v>
      </c>
      <c r="C17" s="88">
        <v>93.75</v>
      </c>
      <c r="D17" s="88">
        <v>73.75</v>
      </c>
      <c r="E17" s="88">
        <v>91.375</v>
      </c>
      <c r="F17" s="89">
        <f t="shared" si="11"/>
        <v>-594.5</v>
      </c>
      <c r="G17" s="89">
        <f t="shared" si="12"/>
        <v>-750</v>
      </c>
      <c r="H17" s="89">
        <f t="shared" si="13"/>
        <v>-590</v>
      </c>
      <c r="I17" s="89">
        <f t="shared" si="14"/>
        <v>-731</v>
      </c>
      <c r="J17" s="89"/>
      <c r="K17" s="89"/>
    </row>
    <row r="18" spans="1:12" hidden="1" x14ac:dyDescent="0.4">
      <c r="A18" s="93" t="s">
        <v>7</v>
      </c>
      <c r="B18" s="88">
        <v>96.1875</v>
      </c>
      <c r="C18" s="88">
        <v>97.625</v>
      </c>
      <c r="D18" s="88">
        <v>79.75</v>
      </c>
      <c r="E18" s="88">
        <v>89.6875</v>
      </c>
      <c r="F18" s="89">
        <f t="shared" si="11"/>
        <v>-769.5</v>
      </c>
      <c r="G18" s="89">
        <f t="shared" si="12"/>
        <v>-781</v>
      </c>
      <c r="H18" s="89">
        <f t="shared" si="13"/>
        <v>-638</v>
      </c>
      <c r="I18" s="89">
        <f t="shared" si="14"/>
        <v>-717.5</v>
      </c>
      <c r="J18" s="89"/>
      <c r="K18" s="89"/>
    </row>
    <row r="19" spans="1:12" hidden="1" x14ac:dyDescent="0.4">
      <c r="A19" s="93" t="s">
        <v>8</v>
      </c>
      <c r="B19" s="88">
        <v>89.53125</v>
      </c>
      <c r="C19" s="88">
        <v>107.5</v>
      </c>
      <c r="D19" s="88">
        <v>88.4375</v>
      </c>
      <c r="E19" s="88">
        <v>106.75</v>
      </c>
      <c r="F19" s="89">
        <f t="shared" si="11"/>
        <v>-716.25</v>
      </c>
      <c r="G19" s="89">
        <f t="shared" si="12"/>
        <v>-860</v>
      </c>
      <c r="H19" s="89">
        <f t="shared" si="13"/>
        <v>-707.5</v>
      </c>
      <c r="I19" s="89">
        <f t="shared" si="14"/>
        <v>-854</v>
      </c>
      <c r="J19" s="89"/>
      <c r="K19" s="89"/>
    </row>
    <row r="20" spans="1:12" hidden="1" x14ac:dyDescent="0.4">
      <c r="A20" s="93" t="s">
        <v>9</v>
      </c>
      <c r="B20" s="88">
        <v>107.25</v>
      </c>
      <c r="C20" s="88">
        <v>120.5</v>
      </c>
      <c r="D20" s="88">
        <v>101</v>
      </c>
      <c r="E20" s="88">
        <v>109.5</v>
      </c>
      <c r="F20" s="89">
        <f t="shared" si="11"/>
        <v>-858</v>
      </c>
      <c r="G20" s="89">
        <f t="shared" si="12"/>
        <v>-964</v>
      </c>
      <c r="H20" s="89">
        <f t="shared" si="13"/>
        <v>-808</v>
      </c>
      <c r="I20" s="89">
        <f t="shared" si="14"/>
        <v>-876</v>
      </c>
      <c r="J20" s="89"/>
      <c r="K20" s="89"/>
    </row>
    <row r="21" spans="1:12" hidden="1" x14ac:dyDescent="0.4">
      <c r="A21" s="93" t="s">
        <v>10</v>
      </c>
      <c r="B21" s="88">
        <v>107.765625</v>
      </c>
      <c r="C21" s="88">
        <v>109.125</v>
      </c>
      <c r="D21" s="88">
        <v>78</v>
      </c>
      <c r="E21" s="88">
        <v>94.75</v>
      </c>
      <c r="F21" s="89">
        <f t="shared" si="11"/>
        <v>-862.125</v>
      </c>
      <c r="G21" s="89">
        <f t="shared" si="12"/>
        <v>-873</v>
      </c>
      <c r="H21" s="89">
        <f t="shared" si="13"/>
        <v>-624</v>
      </c>
      <c r="I21" s="89">
        <f t="shared" si="14"/>
        <v>-758</v>
      </c>
      <c r="J21" s="89"/>
      <c r="K21" s="89"/>
    </row>
    <row r="22" spans="1:12" hidden="1" x14ac:dyDescent="0.4">
      <c r="A22" s="93" t="s">
        <v>11</v>
      </c>
      <c r="B22" s="88">
        <v>95.75</v>
      </c>
      <c r="C22" s="88">
        <v>96.875</v>
      </c>
      <c r="D22" s="88">
        <v>72.25</v>
      </c>
      <c r="E22" s="88">
        <v>83.125</v>
      </c>
      <c r="F22" s="89">
        <f t="shared" si="11"/>
        <v>-766</v>
      </c>
      <c r="G22" s="89">
        <f t="shared" si="12"/>
        <v>-775</v>
      </c>
      <c r="H22" s="89">
        <f t="shared" si="13"/>
        <v>-578</v>
      </c>
      <c r="I22" s="89">
        <f t="shared" si="14"/>
        <v>-665</v>
      </c>
      <c r="J22" s="89"/>
      <c r="K22" s="89"/>
    </row>
    <row r="23" spans="1:12" hidden="1" x14ac:dyDescent="0.4">
      <c r="A23" s="93" t="s">
        <v>12</v>
      </c>
      <c r="B23" s="88">
        <v>85.1875</v>
      </c>
      <c r="C23" s="88">
        <v>99.71875</v>
      </c>
      <c r="D23" s="88">
        <v>82.5</v>
      </c>
      <c r="E23" s="88">
        <v>93.4375</v>
      </c>
      <c r="F23" s="89">
        <f t="shared" si="11"/>
        <v>-681.5</v>
      </c>
      <c r="G23" s="89">
        <f t="shared" si="12"/>
        <v>-797.75</v>
      </c>
      <c r="H23" s="89">
        <f t="shared" si="13"/>
        <v>-660</v>
      </c>
      <c r="I23" s="89">
        <f t="shared" si="14"/>
        <v>-747.5</v>
      </c>
      <c r="J23" s="89">
        <f t="shared" ref="J23" si="15">-MAX(C23:C34)*12*J$1</f>
        <v>-8695.3125</v>
      </c>
      <c r="K23" s="89">
        <f t="shared" ref="K23" si="16">-MIN(D23:D34)*12*K$1</f>
        <v>-4435.1997359999996</v>
      </c>
      <c r="L23" s="89">
        <f t="shared" ref="L23" si="17">L14</f>
        <v>0</v>
      </c>
    </row>
    <row r="24" spans="1:12" hidden="1" x14ac:dyDescent="0.4">
      <c r="A24" s="93" t="s">
        <v>13</v>
      </c>
      <c r="B24" s="88">
        <v>93.5</v>
      </c>
      <c r="C24" s="88">
        <v>102.0625</v>
      </c>
      <c r="D24" s="88">
        <v>85.71875</v>
      </c>
      <c r="E24" s="88">
        <v>89.4375</v>
      </c>
      <c r="F24" s="89">
        <f t="shared" ref="F24:F87" si="18">-B24*F$1</f>
        <v>-748</v>
      </c>
      <c r="G24" s="89">
        <f t="shared" ref="G24:G87" si="19">-C24*G$1</f>
        <v>-816.5</v>
      </c>
      <c r="H24" s="89">
        <f t="shared" ref="H24:H87" si="20">-D24*H$1</f>
        <v>-685.75</v>
      </c>
      <c r="I24" s="89">
        <f t="shared" ref="I24:I87" si="21">-E24*I$1</f>
        <v>-715.5</v>
      </c>
      <c r="J24" s="89"/>
      <c r="K24" s="89"/>
    </row>
    <row r="25" spans="1:12" hidden="1" x14ac:dyDescent="0.4">
      <c r="A25" s="93" t="s">
        <v>14</v>
      </c>
      <c r="B25" s="88">
        <v>89.8125</v>
      </c>
      <c r="C25" s="88">
        <v>102</v>
      </c>
      <c r="D25" s="88">
        <v>83.3125</v>
      </c>
      <c r="E25" s="88">
        <v>101.625</v>
      </c>
      <c r="F25" s="89">
        <f t="shared" si="18"/>
        <v>-718.5</v>
      </c>
      <c r="G25" s="89">
        <f t="shared" si="19"/>
        <v>-816</v>
      </c>
      <c r="H25" s="89">
        <f t="shared" si="20"/>
        <v>-666.5</v>
      </c>
      <c r="I25" s="89">
        <f t="shared" si="21"/>
        <v>-813</v>
      </c>
      <c r="J25" s="89"/>
      <c r="K25" s="89"/>
    </row>
    <row r="26" spans="1:12" hidden="1" x14ac:dyDescent="0.4">
      <c r="A26" s="93" t="s">
        <v>15</v>
      </c>
      <c r="B26" s="88">
        <v>103</v>
      </c>
      <c r="C26" s="88">
        <v>103.515625</v>
      </c>
      <c r="D26" s="88">
        <v>87</v>
      </c>
      <c r="E26" s="88">
        <v>88.75</v>
      </c>
      <c r="F26" s="89">
        <f t="shared" si="18"/>
        <v>-824</v>
      </c>
      <c r="G26" s="89">
        <f t="shared" si="19"/>
        <v>-828.125</v>
      </c>
      <c r="H26" s="89">
        <f t="shared" si="20"/>
        <v>-696</v>
      </c>
      <c r="I26" s="89">
        <f t="shared" si="21"/>
        <v>-710</v>
      </c>
      <c r="J26" s="89"/>
      <c r="K26" s="89"/>
    </row>
    <row r="27" spans="1:12" hidden="1" x14ac:dyDescent="0.4">
      <c r="A27" s="93" t="s">
        <v>16</v>
      </c>
      <c r="B27" s="88">
        <v>90.25</v>
      </c>
      <c r="C27" s="88">
        <v>90.25</v>
      </c>
      <c r="D27" s="88">
        <v>73.625</v>
      </c>
      <c r="E27" s="88">
        <v>81.703125</v>
      </c>
      <c r="F27" s="89">
        <f t="shared" si="18"/>
        <v>-722</v>
      </c>
      <c r="G27" s="89">
        <f t="shared" si="19"/>
        <v>-722</v>
      </c>
      <c r="H27" s="89">
        <f t="shared" si="20"/>
        <v>-589</v>
      </c>
      <c r="I27" s="89">
        <f t="shared" si="21"/>
        <v>-653.625</v>
      </c>
      <c r="J27" s="89"/>
      <c r="K27" s="89"/>
    </row>
    <row r="28" spans="1:12" hidden="1" x14ac:dyDescent="0.4">
      <c r="A28" s="93" t="s">
        <v>17</v>
      </c>
      <c r="B28" s="88">
        <v>80.3125</v>
      </c>
      <c r="C28" s="88">
        <v>84.125</v>
      </c>
      <c r="D28" s="88">
        <v>60.5</v>
      </c>
      <c r="E28" s="88">
        <v>62.984375</v>
      </c>
      <c r="F28" s="89">
        <f t="shared" si="18"/>
        <v>-642.5</v>
      </c>
      <c r="G28" s="89">
        <f t="shared" si="19"/>
        <v>-673</v>
      </c>
      <c r="H28" s="89">
        <f t="shared" si="20"/>
        <v>-484</v>
      </c>
      <c r="I28" s="89">
        <f t="shared" si="21"/>
        <v>-503.875</v>
      </c>
      <c r="J28" s="89"/>
      <c r="K28" s="89"/>
    </row>
    <row r="29" spans="1:12" hidden="1" x14ac:dyDescent="0.4">
      <c r="A29" s="93" t="s">
        <v>18</v>
      </c>
      <c r="B29" s="88">
        <v>64.0625</v>
      </c>
      <c r="C29" s="88">
        <v>74.78125</v>
      </c>
      <c r="D29" s="88">
        <v>54.25</v>
      </c>
      <c r="E29" s="88">
        <v>58.375</v>
      </c>
      <c r="F29" s="89">
        <f t="shared" si="18"/>
        <v>-512.5</v>
      </c>
      <c r="G29" s="89">
        <f t="shared" si="19"/>
        <v>-598.25</v>
      </c>
      <c r="H29" s="89">
        <f t="shared" si="20"/>
        <v>-434</v>
      </c>
      <c r="I29" s="89">
        <f t="shared" si="21"/>
        <v>-467</v>
      </c>
      <c r="J29" s="89"/>
      <c r="K29" s="89"/>
    </row>
    <row r="30" spans="1:12" hidden="1" x14ac:dyDescent="0.4">
      <c r="A30" s="93" t="s">
        <v>19</v>
      </c>
      <c r="B30" s="88">
        <v>58.5625</v>
      </c>
      <c r="C30" s="88">
        <v>69.125</v>
      </c>
      <c r="D30" s="88">
        <v>52.15625</v>
      </c>
      <c r="E30" s="88">
        <v>64.300003000000004</v>
      </c>
      <c r="F30" s="89">
        <f t="shared" si="18"/>
        <v>-468.5</v>
      </c>
      <c r="G30" s="89">
        <f t="shared" si="19"/>
        <v>-553</v>
      </c>
      <c r="H30" s="89">
        <f t="shared" si="20"/>
        <v>-417.25</v>
      </c>
      <c r="I30" s="89">
        <f t="shared" si="21"/>
        <v>-514.40002400000003</v>
      </c>
      <c r="J30" s="89"/>
      <c r="K30" s="89"/>
    </row>
    <row r="31" spans="1:12" hidden="1" x14ac:dyDescent="0.4">
      <c r="A31" s="93" t="s">
        <v>20</v>
      </c>
      <c r="B31" s="88">
        <v>64.550003000000004</v>
      </c>
      <c r="C31" s="88">
        <v>65.610000999999997</v>
      </c>
      <c r="D31" s="88">
        <v>46.860000999999997</v>
      </c>
      <c r="E31" s="88">
        <v>47.450001</v>
      </c>
      <c r="F31" s="89">
        <f t="shared" si="18"/>
        <v>-516.40002400000003</v>
      </c>
      <c r="G31" s="89">
        <f t="shared" si="19"/>
        <v>-524.88000799999998</v>
      </c>
      <c r="H31" s="89">
        <f t="shared" si="20"/>
        <v>-374.88000799999998</v>
      </c>
      <c r="I31" s="89">
        <f t="shared" si="21"/>
        <v>-379.600008</v>
      </c>
      <c r="J31" s="89"/>
      <c r="K31" s="89"/>
    </row>
    <row r="32" spans="1:12" hidden="1" x14ac:dyDescent="0.4">
      <c r="A32" s="93" t="s">
        <v>21</v>
      </c>
      <c r="B32" s="88">
        <v>46.970001000000003</v>
      </c>
      <c r="C32" s="88">
        <v>50.66</v>
      </c>
      <c r="D32" s="88">
        <v>38</v>
      </c>
      <c r="E32" s="88">
        <v>39.150002000000001</v>
      </c>
      <c r="F32" s="89">
        <f t="shared" si="18"/>
        <v>-375.76000800000003</v>
      </c>
      <c r="G32" s="89">
        <f t="shared" si="19"/>
        <v>-405.28</v>
      </c>
      <c r="H32" s="89">
        <f t="shared" si="20"/>
        <v>-304</v>
      </c>
      <c r="I32" s="89">
        <f t="shared" si="21"/>
        <v>-313.20001600000001</v>
      </c>
      <c r="J32" s="89"/>
      <c r="K32" s="89"/>
    </row>
    <row r="33" spans="1:12" hidden="1" x14ac:dyDescent="0.4">
      <c r="A33" s="93" t="s">
        <v>22</v>
      </c>
      <c r="B33" s="88">
        <v>39.169998</v>
      </c>
      <c r="C33" s="88">
        <v>49.439999</v>
      </c>
      <c r="D33" s="88">
        <v>33.599997999999999</v>
      </c>
      <c r="E33" s="88">
        <v>46.150002000000001</v>
      </c>
      <c r="F33" s="89">
        <f t="shared" si="18"/>
        <v>-313.359984</v>
      </c>
      <c r="G33" s="89">
        <f t="shared" si="19"/>
        <v>-395.519992</v>
      </c>
      <c r="H33" s="89">
        <f t="shared" si="20"/>
        <v>-268.79998399999999</v>
      </c>
      <c r="I33" s="89">
        <f t="shared" si="21"/>
        <v>-369.20001600000001</v>
      </c>
      <c r="J33" s="89"/>
      <c r="K33" s="89"/>
    </row>
    <row r="34" spans="1:12" hidden="1" x14ac:dyDescent="0.4">
      <c r="A34" s="93" t="s">
        <v>23</v>
      </c>
      <c r="B34" s="88">
        <v>46.200001</v>
      </c>
      <c r="C34" s="88">
        <v>51.950001</v>
      </c>
      <c r="D34" s="88">
        <v>43.349997999999999</v>
      </c>
      <c r="E34" s="88">
        <v>44.73</v>
      </c>
      <c r="F34" s="89">
        <f t="shared" si="18"/>
        <v>-369.600008</v>
      </c>
      <c r="G34" s="89">
        <f t="shared" si="19"/>
        <v>-415.600008</v>
      </c>
      <c r="H34" s="89">
        <f t="shared" si="20"/>
        <v>-346.79998399999999</v>
      </c>
      <c r="I34" s="89">
        <f t="shared" si="21"/>
        <v>-357.84</v>
      </c>
      <c r="J34" s="89"/>
      <c r="K34" s="89"/>
    </row>
    <row r="35" spans="1:12" hidden="1" x14ac:dyDescent="0.4">
      <c r="A35" s="93" t="s">
        <v>24</v>
      </c>
      <c r="B35" s="88">
        <v>45.540000999999997</v>
      </c>
      <c r="C35" s="88">
        <v>49.490001999999997</v>
      </c>
      <c r="D35" s="88">
        <v>41.259998000000003</v>
      </c>
      <c r="E35" s="88">
        <v>45.700001</v>
      </c>
      <c r="F35" s="89">
        <f t="shared" si="18"/>
        <v>-364.32000799999997</v>
      </c>
      <c r="G35" s="89">
        <f t="shared" si="19"/>
        <v>-395.92001599999998</v>
      </c>
      <c r="H35" s="89">
        <f t="shared" si="20"/>
        <v>-330.07998400000002</v>
      </c>
      <c r="I35" s="89">
        <f t="shared" si="21"/>
        <v>-365.600008</v>
      </c>
      <c r="J35" s="89">
        <f t="shared" ref="J35" si="22">-MAX(C35:C46)*12*J$1</f>
        <v>-4157.1601679999994</v>
      </c>
      <c r="K35" s="89">
        <f t="shared" ref="K35" si="23">-MIN(D35:D46)*12*K$1</f>
        <v>-3590.4001320000002</v>
      </c>
      <c r="L35" s="89">
        <f t="shared" ref="L35" si="24">L26</f>
        <v>0</v>
      </c>
    </row>
    <row r="36" spans="1:12" hidden="1" x14ac:dyDescent="0.4">
      <c r="A36" s="93" t="s">
        <v>25</v>
      </c>
      <c r="B36" s="88">
        <v>45.650002000000001</v>
      </c>
      <c r="C36" s="88">
        <v>46.48</v>
      </c>
      <c r="D36" s="88">
        <v>39.310001</v>
      </c>
      <c r="E36" s="88">
        <v>41.759998000000003</v>
      </c>
      <c r="F36" s="89">
        <f t="shared" si="18"/>
        <v>-365.20001600000001</v>
      </c>
      <c r="G36" s="89">
        <f t="shared" si="19"/>
        <v>-371.84</v>
      </c>
      <c r="H36" s="89">
        <f t="shared" si="20"/>
        <v>-314.480008</v>
      </c>
      <c r="I36" s="89">
        <f t="shared" si="21"/>
        <v>-334.07998400000002</v>
      </c>
      <c r="J36" s="89"/>
      <c r="K36" s="89"/>
    </row>
    <row r="37" spans="1:12" hidden="1" x14ac:dyDescent="0.4">
      <c r="A37" s="93" t="s">
        <v>26</v>
      </c>
      <c r="B37" s="88">
        <v>42.630001</v>
      </c>
      <c r="C37" s="88">
        <v>44</v>
      </c>
      <c r="D37" s="88">
        <v>35.75</v>
      </c>
      <c r="E37" s="88">
        <v>36.630001</v>
      </c>
      <c r="F37" s="89">
        <f t="shared" si="18"/>
        <v>-341.040008</v>
      </c>
      <c r="G37" s="89">
        <f t="shared" si="19"/>
        <v>-352</v>
      </c>
      <c r="H37" s="89">
        <f t="shared" si="20"/>
        <v>-286</v>
      </c>
      <c r="I37" s="89">
        <f t="shared" si="21"/>
        <v>-293.040008</v>
      </c>
      <c r="J37" s="89"/>
      <c r="K37" s="89"/>
    </row>
    <row r="38" spans="1:12" hidden="1" x14ac:dyDescent="0.4">
      <c r="A38" s="93" t="s">
        <v>27</v>
      </c>
      <c r="B38" s="88">
        <v>36.509998000000003</v>
      </c>
      <c r="C38" s="88">
        <v>37.5</v>
      </c>
      <c r="D38" s="88">
        <v>27.200001</v>
      </c>
      <c r="E38" s="88">
        <v>28.98</v>
      </c>
      <c r="F38" s="89">
        <f t="shared" si="18"/>
        <v>-292.07998400000002</v>
      </c>
      <c r="G38" s="89">
        <f t="shared" si="19"/>
        <v>-300</v>
      </c>
      <c r="H38" s="89">
        <f t="shared" si="20"/>
        <v>-217.600008</v>
      </c>
      <c r="I38" s="89">
        <f t="shared" si="21"/>
        <v>-231.84</v>
      </c>
      <c r="J38" s="89"/>
      <c r="K38" s="89"/>
    </row>
    <row r="39" spans="1:12" hidden="1" x14ac:dyDescent="0.4">
      <c r="A39" s="93" t="s">
        <v>28</v>
      </c>
      <c r="B39" s="88">
        <v>28.85</v>
      </c>
      <c r="C39" s="88">
        <v>37.060001</v>
      </c>
      <c r="D39" s="88">
        <v>27.85</v>
      </c>
      <c r="E39" s="88">
        <v>33.900002000000001</v>
      </c>
      <c r="F39" s="89">
        <f t="shared" si="18"/>
        <v>-230.8</v>
      </c>
      <c r="G39" s="89">
        <f t="shared" si="19"/>
        <v>-296.480008</v>
      </c>
      <c r="H39" s="89">
        <f t="shared" si="20"/>
        <v>-222.8</v>
      </c>
      <c r="I39" s="89">
        <f t="shared" si="21"/>
        <v>-271.20001600000001</v>
      </c>
      <c r="J39" s="89"/>
      <c r="K39" s="89"/>
    </row>
    <row r="40" spans="1:12" hidden="1" x14ac:dyDescent="0.4">
      <c r="A40" s="93" t="s">
        <v>29</v>
      </c>
      <c r="B40" s="88">
        <v>34.439999</v>
      </c>
      <c r="C40" s="88">
        <v>40.970001000000003</v>
      </c>
      <c r="D40" s="88">
        <v>33.779998999999997</v>
      </c>
      <c r="E40" s="88">
        <v>39.650002000000001</v>
      </c>
      <c r="F40" s="89">
        <f t="shared" si="18"/>
        <v>-275.519992</v>
      </c>
      <c r="G40" s="89">
        <f t="shared" si="19"/>
        <v>-327.76000800000003</v>
      </c>
      <c r="H40" s="89">
        <f t="shared" si="20"/>
        <v>-270.23999199999997</v>
      </c>
      <c r="I40" s="89">
        <f t="shared" si="21"/>
        <v>-317.20001600000001</v>
      </c>
      <c r="J40" s="89"/>
      <c r="K40" s="89"/>
    </row>
    <row r="41" spans="1:12" hidden="1" x14ac:dyDescent="0.4">
      <c r="A41" s="93" t="s">
        <v>30</v>
      </c>
      <c r="B41" s="88">
        <v>39.290000999999997</v>
      </c>
      <c r="C41" s="88">
        <v>43.240001999999997</v>
      </c>
      <c r="D41" s="88">
        <v>38.439999</v>
      </c>
      <c r="E41" s="88">
        <v>38.909999999999997</v>
      </c>
      <c r="F41" s="89">
        <f t="shared" si="18"/>
        <v>-314.32000799999997</v>
      </c>
      <c r="G41" s="89">
        <f t="shared" si="19"/>
        <v>-345.92001599999998</v>
      </c>
      <c r="H41" s="89">
        <f t="shared" si="20"/>
        <v>-307.519992</v>
      </c>
      <c r="I41" s="89">
        <f t="shared" si="21"/>
        <v>-311.27999999999997</v>
      </c>
      <c r="J41" s="89"/>
      <c r="K41" s="89"/>
    </row>
    <row r="42" spans="1:12" hidden="1" x14ac:dyDescent="0.4">
      <c r="A42" s="93" t="s">
        <v>31</v>
      </c>
      <c r="B42" s="88">
        <v>39.57</v>
      </c>
      <c r="C42" s="88">
        <v>42.599997999999999</v>
      </c>
      <c r="D42" s="88">
        <v>36.849997999999999</v>
      </c>
      <c r="E42" s="88">
        <v>38.509998000000003</v>
      </c>
      <c r="F42" s="89">
        <f t="shared" si="18"/>
        <v>-316.56</v>
      </c>
      <c r="G42" s="89">
        <f t="shared" si="19"/>
        <v>-340.79998399999999</v>
      </c>
      <c r="H42" s="89">
        <f t="shared" si="20"/>
        <v>-294.79998399999999</v>
      </c>
      <c r="I42" s="89">
        <f t="shared" si="21"/>
        <v>-308.07998400000002</v>
      </c>
      <c r="J42" s="89"/>
      <c r="K42" s="89"/>
    </row>
    <row r="43" spans="1:12" hidden="1" x14ac:dyDescent="0.4">
      <c r="A43" s="93" t="s">
        <v>32</v>
      </c>
      <c r="B43" s="88">
        <v>38.400002000000001</v>
      </c>
      <c r="C43" s="88">
        <v>38.880001</v>
      </c>
      <c r="D43" s="88">
        <v>33.090000000000003</v>
      </c>
      <c r="E43" s="88">
        <v>33.779998999999997</v>
      </c>
      <c r="F43" s="89">
        <f t="shared" si="18"/>
        <v>-307.20001600000001</v>
      </c>
      <c r="G43" s="89">
        <f t="shared" si="19"/>
        <v>-311.040008</v>
      </c>
      <c r="H43" s="89">
        <f t="shared" si="20"/>
        <v>-264.72000000000003</v>
      </c>
      <c r="I43" s="89">
        <f t="shared" si="21"/>
        <v>-270.23999199999997</v>
      </c>
      <c r="J43" s="89"/>
      <c r="K43" s="89"/>
    </row>
    <row r="44" spans="1:12" hidden="1" x14ac:dyDescent="0.4">
      <c r="A44" s="93" t="s">
        <v>33</v>
      </c>
      <c r="B44" s="88">
        <v>34.150002000000001</v>
      </c>
      <c r="C44" s="88">
        <v>39.189999</v>
      </c>
      <c r="D44" s="88">
        <v>34.090000000000003</v>
      </c>
      <c r="E44" s="88">
        <v>36.060001</v>
      </c>
      <c r="F44" s="89">
        <f t="shared" si="18"/>
        <v>-273.20001600000001</v>
      </c>
      <c r="G44" s="89">
        <f t="shared" si="19"/>
        <v>-313.519992</v>
      </c>
      <c r="H44" s="89">
        <f t="shared" si="20"/>
        <v>-272.72000000000003</v>
      </c>
      <c r="I44" s="89">
        <f t="shared" si="21"/>
        <v>-288.480008</v>
      </c>
      <c r="J44" s="89"/>
      <c r="K44" s="89"/>
    </row>
    <row r="45" spans="1:12" hidden="1" x14ac:dyDescent="0.4">
      <c r="A45" s="93" t="s">
        <v>34</v>
      </c>
      <c r="B45" s="88">
        <v>35.799999</v>
      </c>
      <c r="C45" s="88">
        <v>36.900002000000001</v>
      </c>
      <c r="D45" s="88">
        <v>30.559999000000001</v>
      </c>
      <c r="E45" s="88">
        <v>31.73</v>
      </c>
      <c r="F45" s="89">
        <f t="shared" si="18"/>
        <v>-286.399992</v>
      </c>
      <c r="G45" s="89">
        <f t="shared" si="19"/>
        <v>-295.20001600000001</v>
      </c>
      <c r="H45" s="89">
        <f t="shared" si="20"/>
        <v>-244.47999200000001</v>
      </c>
      <c r="I45" s="89">
        <f t="shared" si="21"/>
        <v>-253.84</v>
      </c>
      <c r="J45" s="89"/>
      <c r="K45" s="89"/>
    </row>
    <row r="46" spans="1:12" hidden="1" x14ac:dyDescent="0.4">
      <c r="A46" s="93" t="s">
        <v>35</v>
      </c>
      <c r="B46" s="88">
        <v>31.67</v>
      </c>
      <c r="C46" s="88">
        <v>33.630001</v>
      </c>
      <c r="D46" s="88">
        <v>28.42</v>
      </c>
      <c r="E46" s="88">
        <v>30.040001</v>
      </c>
      <c r="F46" s="89">
        <f t="shared" si="18"/>
        <v>-253.36</v>
      </c>
      <c r="G46" s="89">
        <f t="shared" si="19"/>
        <v>-269.040008</v>
      </c>
      <c r="H46" s="89">
        <f t="shared" si="20"/>
        <v>-227.36</v>
      </c>
      <c r="I46" s="89">
        <f t="shared" si="21"/>
        <v>-240.320008</v>
      </c>
      <c r="J46" s="89"/>
      <c r="K46" s="89"/>
    </row>
    <row r="47" spans="1:12" hidden="1" x14ac:dyDescent="0.4">
      <c r="A47" s="93" t="s">
        <v>36</v>
      </c>
      <c r="B47" s="88">
        <v>30</v>
      </c>
      <c r="C47" s="88">
        <v>30.25</v>
      </c>
      <c r="D47" s="88">
        <v>24.389999</v>
      </c>
      <c r="E47" s="88">
        <v>26.1</v>
      </c>
      <c r="F47" s="89">
        <f t="shared" si="18"/>
        <v>-240</v>
      </c>
      <c r="G47" s="89">
        <f t="shared" si="19"/>
        <v>-242</v>
      </c>
      <c r="H47" s="89">
        <f t="shared" si="20"/>
        <v>-195.119992</v>
      </c>
      <c r="I47" s="89">
        <f t="shared" si="21"/>
        <v>-208.8</v>
      </c>
      <c r="J47" s="89">
        <f t="shared" ref="J47" si="25">-MAX(C47:C58)*12*J$1</f>
        <v>-2541</v>
      </c>
      <c r="K47" s="89">
        <f t="shared" ref="K47" si="26">-MIN(D47:D58)*12*K$1</f>
        <v>-2608.3200000000002</v>
      </c>
      <c r="L47" s="89">
        <f t="shared" ref="L47" si="27">L38</f>
        <v>0</v>
      </c>
    </row>
    <row r="48" spans="1:12" hidden="1" x14ac:dyDescent="0.4">
      <c r="A48" s="93" t="s">
        <v>37</v>
      </c>
      <c r="B48" s="88">
        <v>25.969999000000001</v>
      </c>
      <c r="C48" s="88">
        <v>26.549999</v>
      </c>
      <c r="D48" s="88">
        <v>21.639999</v>
      </c>
      <c r="E48" s="88">
        <v>23.85</v>
      </c>
      <c r="F48" s="89">
        <f t="shared" si="18"/>
        <v>-207.75999200000001</v>
      </c>
      <c r="G48" s="89">
        <f t="shared" si="19"/>
        <v>-212.399992</v>
      </c>
      <c r="H48" s="89">
        <f t="shared" si="20"/>
        <v>-173.119992</v>
      </c>
      <c r="I48" s="89">
        <f t="shared" si="21"/>
        <v>-190.8</v>
      </c>
      <c r="J48" s="89"/>
      <c r="K48" s="89"/>
    </row>
    <row r="49" spans="1:12" hidden="1" x14ac:dyDescent="0.4">
      <c r="A49" s="93" t="s">
        <v>38</v>
      </c>
      <c r="B49" s="88">
        <v>23.74</v>
      </c>
      <c r="C49" s="88">
        <v>26.209999</v>
      </c>
      <c r="D49" s="88">
        <v>21.299999</v>
      </c>
      <c r="E49" s="88">
        <v>23.49</v>
      </c>
      <c r="F49" s="89">
        <f t="shared" si="18"/>
        <v>-189.92</v>
      </c>
      <c r="G49" s="89">
        <f t="shared" si="19"/>
        <v>-209.679992</v>
      </c>
      <c r="H49" s="89">
        <f t="shared" si="20"/>
        <v>-170.399992</v>
      </c>
      <c r="I49" s="89">
        <f t="shared" si="21"/>
        <v>-187.92</v>
      </c>
      <c r="J49" s="89"/>
      <c r="K49" s="89"/>
    </row>
    <row r="50" spans="1:12" hidden="1" x14ac:dyDescent="0.4">
      <c r="A50" s="93" t="s">
        <v>39</v>
      </c>
      <c r="B50" s="88">
        <v>23.059999000000001</v>
      </c>
      <c r="C50" s="88">
        <v>24.35</v>
      </c>
      <c r="D50" s="88">
        <v>20.49</v>
      </c>
      <c r="E50" s="88">
        <v>20.719999000000001</v>
      </c>
      <c r="F50" s="89">
        <f t="shared" si="18"/>
        <v>-184.47999200000001</v>
      </c>
      <c r="G50" s="89">
        <f t="shared" si="19"/>
        <v>-194.8</v>
      </c>
      <c r="H50" s="89">
        <f t="shared" si="20"/>
        <v>-163.92</v>
      </c>
      <c r="I50" s="89">
        <f t="shared" si="21"/>
        <v>-165.75999200000001</v>
      </c>
      <c r="J50" s="89"/>
      <c r="K50" s="89"/>
    </row>
    <row r="51" spans="1:12" hidden="1" x14ac:dyDescent="0.4">
      <c r="A51" s="93" t="s">
        <v>40</v>
      </c>
      <c r="B51" s="88">
        <v>20.91</v>
      </c>
      <c r="C51" s="88">
        <v>25.040001</v>
      </c>
      <c r="D51" s="88">
        <v>19.760000000000002</v>
      </c>
      <c r="E51" s="88">
        <v>24.549999</v>
      </c>
      <c r="F51" s="89">
        <f t="shared" si="18"/>
        <v>-167.28</v>
      </c>
      <c r="G51" s="89">
        <f t="shared" si="19"/>
        <v>-200.320008</v>
      </c>
      <c r="H51" s="89">
        <f t="shared" si="20"/>
        <v>-158.08000000000001</v>
      </c>
      <c r="I51" s="89">
        <f t="shared" si="21"/>
        <v>-196.399992</v>
      </c>
      <c r="J51" s="89"/>
      <c r="K51" s="89"/>
    </row>
    <row r="52" spans="1:12" hidden="1" x14ac:dyDescent="0.4">
      <c r="A52" s="93" t="s">
        <v>41</v>
      </c>
      <c r="B52" s="88">
        <v>24.370000999999998</v>
      </c>
      <c r="C52" s="88">
        <v>28.290001</v>
      </c>
      <c r="D52" s="88">
        <v>24.139999</v>
      </c>
      <c r="E52" s="88">
        <v>27.719999000000001</v>
      </c>
      <c r="F52" s="89">
        <f t="shared" si="18"/>
        <v>-194.96000799999999</v>
      </c>
      <c r="G52" s="89">
        <f t="shared" si="19"/>
        <v>-226.320008</v>
      </c>
      <c r="H52" s="89">
        <f t="shared" si="20"/>
        <v>-193.119992</v>
      </c>
      <c r="I52" s="89">
        <f t="shared" si="21"/>
        <v>-221.75999200000001</v>
      </c>
      <c r="J52" s="89"/>
      <c r="K52" s="89"/>
    </row>
    <row r="53" spans="1:12" hidden="1" x14ac:dyDescent="0.4">
      <c r="A53" s="93" t="s">
        <v>42</v>
      </c>
      <c r="B53" s="88">
        <v>28.42</v>
      </c>
      <c r="C53" s="88">
        <v>28.790001</v>
      </c>
      <c r="D53" s="88">
        <v>24.280000999999999</v>
      </c>
      <c r="E53" s="88">
        <v>24.370000999999998</v>
      </c>
      <c r="F53" s="89">
        <f t="shared" si="18"/>
        <v>-227.36</v>
      </c>
      <c r="G53" s="89">
        <f t="shared" si="19"/>
        <v>-230.320008</v>
      </c>
      <c r="H53" s="89">
        <f t="shared" si="20"/>
        <v>-194.24000799999999</v>
      </c>
      <c r="I53" s="89">
        <f t="shared" si="21"/>
        <v>-194.96000799999999</v>
      </c>
      <c r="J53" s="89"/>
      <c r="K53" s="89"/>
    </row>
    <row r="54" spans="1:12" hidden="1" x14ac:dyDescent="0.4">
      <c r="A54" s="93" t="s">
        <v>43</v>
      </c>
      <c r="B54" s="88">
        <v>24.719999000000001</v>
      </c>
      <c r="C54" s="88">
        <v>27.469999000000001</v>
      </c>
      <c r="D54" s="88">
        <v>24.01</v>
      </c>
      <c r="E54" s="88">
        <v>24.440000999999999</v>
      </c>
      <c r="F54" s="89">
        <f t="shared" si="18"/>
        <v>-197.75999200000001</v>
      </c>
      <c r="G54" s="89">
        <f t="shared" si="19"/>
        <v>-219.75999200000001</v>
      </c>
      <c r="H54" s="89">
        <f t="shared" si="20"/>
        <v>-192.08</v>
      </c>
      <c r="I54" s="89">
        <f t="shared" si="21"/>
        <v>-195.52000799999999</v>
      </c>
      <c r="J54" s="89"/>
      <c r="K54" s="89"/>
    </row>
    <row r="55" spans="1:12" hidden="1" x14ac:dyDescent="0.4">
      <c r="A55" s="93" t="s">
        <v>44</v>
      </c>
      <c r="B55" s="88">
        <v>24.52</v>
      </c>
      <c r="C55" s="88">
        <v>25.370000999999998</v>
      </c>
      <c r="D55" s="88">
        <v>23.32</v>
      </c>
      <c r="E55" s="88">
        <v>25.16</v>
      </c>
      <c r="F55" s="89">
        <f t="shared" si="18"/>
        <v>-196.16</v>
      </c>
      <c r="G55" s="89">
        <f t="shared" si="19"/>
        <v>-202.96000799999999</v>
      </c>
      <c r="H55" s="89">
        <f t="shared" si="20"/>
        <v>-186.56</v>
      </c>
      <c r="I55" s="89">
        <f t="shared" si="21"/>
        <v>-201.28</v>
      </c>
      <c r="J55" s="89"/>
      <c r="K55" s="89"/>
    </row>
    <row r="56" spans="1:12" hidden="1" x14ac:dyDescent="0.4">
      <c r="A56" s="93" t="s">
        <v>45</v>
      </c>
      <c r="B56" s="88">
        <v>25.27</v>
      </c>
      <c r="C56" s="88">
        <v>27.379999000000002</v>
      </c>
      <c r="D56" s="88">
        <v>23.540001</v>
      </c>
      <c r="E56" s="88">
        <v>25.25</v>
      </c>
      <c r="F56" s="89">
        <f t="shared" si="18"/>
        <v>-202.16</v>
      </c>
      <c r="G56" s="89">
        <f t="shared" si="19"/>
        <v>-219.03999200000001</v>
      </c>
      <c r="H56" s="89">
        <f t="shared" si="20"/>
        <v>-188.320008</v>
      </c>
      <c r="I56" s="89">
        <f t="shared" si="21"/>
        <v>-202</v>
      </c>
      <c r="J56" s="89"/>
      <c r="K56" s="89"/>
    </row>
    <row r="57" spans="1:12" hidden="1" x14ac:dyDescent="0.4">
      <c r="A57" s="93" t="s">
        <v>46</v>
      </c>
      <c r="B57" s="88">
        <v>25.440000999999999</v>
      </c>
      <c r="C57" s="88">
        <v>28.059999000000001</v>
      </c>
      <c r="D57" s="88">
        <v>25.25</v>
      </c>
      <c r="E57" s="88">
        <v>27.450001</v>
      </c>
      <c r="F57" s="89">
        <f t="shared" si="18"/>
        <v>-203.52000799999999</v>
      </c>
      <c r="G57" s="89">
        <f t="shared" si="19"/>
        <v>-224.47999200000001</v>
      </c>
      <c r="H57" s="89">
        <f t="shared" si="20"/>
        <v>-202</v>
      </c>
      <c r="I57" s="89">
        <f t="shared" si="21"/>
        <v>-219.600008</v>
      </c>
      <c r="J57" s="89"/>
      <c r="K57" s="89"/>
    </row>
    <row r="58" spans="1:12" hidden="1" x14ac:dyDescent="0.4">
      <c r="A58" s="93" t="s">
        <v>47</v>
      </c>
      <c r="B58" s="88">
        <v>27.440000999999999</v>
      </c>
      <c r="C58" s="88">
        <v>29.870000999999998</v>
      </c>
      <c r="D58" s="88">
        <v>27.190000999999999</v>
      </c>
      <c r="E58" s="88">
        <v>29.790001</v>
      </c>
      <c r="F58" s="89">
        <f t="shared" si="18"/>
        <v>-219.52000799999999</v>
      </c>
      <c r="G58" s="89">
        <f t="shared" si="19"/>
        <v>-238.96000799999999</v>
      </c>
      <c r="H58" s="89">
        <f t="shared" si="20"/>
        <v>-217.52000799999999</v>
      </c>
      <c r="I58" s="89">
        <f t="shared" si="21"/>
        <v>-238.320008</v>
      </c>
      <c r="J58" s="89"/>
      <c r="K58" s="89"/>
    </row>
    <row r="59" spans="1:12" hidden="1" x14ac:dyDescent="0.4">
      <c r="A59" s="93" t="s">
        <v>48</v>
      </c>
      <c r="B59" s="88">
        <v>30.08</v>
      </c>
      <c r="C59" s="88">
        <v>31.469999000000001</v>
      </c>
      <c r="D59" s="88">
        <v>29.309999000000001</v>
      </c>
      <c r="E59" s="88">
        <v>29.950001</v>
      </c>
      <c r="F59" s="89">
        <f t="shared" si="18"/>
        <v>-240.64</v>
      </c>
      <c r="G59" s="89">
        <f t="shared" si="19"/>
        <v>-251.75999200000001</v>
      </c>
      <c r="H59" s="89">
        <f t="shared" si="20"/>
        <v>-234.47999200000001</v>
      </c>
      <c r="I59" s="89">
        <f t="shared" si="21"/>
        <v>-239.600008</v>
      </c>
      <c r="J59" s="89">
        <f t="shared" ref="J59" si="28">-MAX(C59:C70)*12*J$1</f>
        <v>-3276</v>
      </c>
      <c r="K59" s="89">
        <f t="shared" ref="K59" si="29">-MIN(D59:D70)*12*K$1</f>
        <v>-3862.32</v>
      </c>
      <c r="L59" s="89">
        <f t="shared" ref="L59" si="30">L50</f>
        <v>0</v>
      </c>
    </row>
    <row r="60" spans="1:12" hidden="1" x14ac:dyDescent="0.4">
      <c r="A60" s="93" t="s">
        <v>49</v>
      </c>
      <c r="B60" s="88">
        <v>29.700001</v>
      </c>
      <c r="C60" s="88">
        <v>32.75</v>
      </c>
      <c r="D60" s="88">
        <v>29.26</v>
      </c>
      <c r="E60" s="88">
        <v>31.799999</v>
      </c>
      <c r="F60" s="89">
        <f t="shared" si="18"/>
        <v>-237.600008</v>
      </c>
      <c r="G60" s="89">
        <f t="shared" si="19"/>
        <v>-262</v>
      </c>
      <c r="H60" s="89">
        <f t="shared" si="20"/>
        <v>-234.08</v>
      </c>
      <c r="I60" s="89">
        <f t="shared" si="21"/>
        <v>-254.399992</v>
      </c>
      <c r="J60" s="89"/>
      <c r="K60" s="89"/>
    </row>
    <row r="61" spans="1:12" hidden="1" x14ac:dyDescent="0.4">
      <c r="A61" s="93" t="s">
        <v>50</v>
      </c>
      <c r="B61" s="88">
        <v>31.690000999999999</v>
      </c>
      <c r="C61" s="88">
        <v>33.459999000000003</v>
      </c>
      <c r="D61" s="88">
        <v>29.93</v>
      </c>
      <c r="E61" s="88">
        <v>33.389999000000003</v>
      </c>
      <c r="F61" s="89">
        <f t="shared" si="18"/>
        <v>-253.52000799999999</v>
      </c>
      <c r="G61" s="89">
        <f t="shared" si="19"/>
        <v>-267.67999200000003</v>
      </c>
      <c r="H61" s="89">
        <f t="shared" si="20"/>
        <v>-239.44</v>
      </c>
      <c r="I61" s="89">
        <f t="shared" si="21"/>
        <v>-267.11999200000002</v>
      </c>
      <c r="J61" s="89"/>
      <c r="K61" s="89"/>
    </row>
    <row r="62" spans="1:12" hidden="1" x14ac:dyDescent="0.4">
      <c r="A62" s="93" t="s">
        <v>51</v>
      </c>
      <c r="B62" s="88">
        <v>33.490001999999997</v>
      </c>
      <c r="C62" s="88">
        <v>34.860000999999997</v>
      </c>
      <c r="D62" s="88">
        <v>32.360000999999997</v>
      </c>
      <c r="E62" s="88">
        <v>32.419998</v>
      </c>
      <c r="F62" s="89">
        <f t="shared" si="18"/>
        <v>-267.92001599999998</v>
      </c>
      <c r="G62" s="89">
        <f t="shared" si="19"/>
        <v>-278.88000799999998</v>
      </c>
      <c r="H62" s="89">
        <f t="shared" si="20"/>
        <v>-258.88000799999998</v>
      </c>
      <c r="I62" s="89">
        <f t="shared" si="21"/>
        <v>-259.359984</v>
      </c>
      <c r="J62" s="89"/>
      <c r="K62" s="89"/>
    </row>
    <row r="63" spans="1:12" hidden="1" x14ac:dyDescent="0.4">
      <c r="A63" s="93" t="s">
        <v>52</v>
      </c>
      <c r="B63" s="88">
        <v>32.610000999999997</v>
      </c>
      <c r="C63" s="88">
        <v>36</v>
      </c>
      <c r="D63" s="88">
        <v>32.419998</v>
      </c>
      <c r="E63" s="88">
        <v>35.18</v>
      </c>
      <c r="F63" s="89">
        <f t="shared" si="18"/>
        <v>-260.88000799999998</v>
      </c>
      <c r="G63" s="89">
        <f t="shared" si="19"/>
        <v>-288</v>
      </c>
      <c r="H63" s="89">
        <f t="shared" si="20"/>
        <v>-259.359984</v>
      </c>
      <c r="I63" s="89">
        <f t="shared" si="21"/>
        <v>-281.44</v>
      </c>
      <c r="J63" s="89"/>
      <c r="K63" s="89"/>
    </row>
    <row r="64" spans="1:12" hidden="1" x14ac:dyDescent="0.4">
      <c r="A64" s="93" t="s">
        <v>53</v>
      </c>
      <c r="B64" s="88">
        <v>35.43</v>
      </c>
      <c r="C64" s="88">
        <v>36.18</v>
      </c>
      <c r="D64" s="88">
        <v>33.729999999999997</v>
      </c>
      <c r="E64" s="88">
        <v>35.380001</v>
      </c>
      <c r="F64" s="89">
        <f t="shared" si="18"/>
        <v>-283.44</v>
      </c>
      <c r="G64" s="89">
        <f t="shared" si="19"/>
        <v>-289.44</v>
      </c>
      <c r="H64" s="89">
        <f t="shared" si="20"/>
        <v>-269.83999999999997</v>
      </c>
      <c r="I64" s="89">
        <f t="shared" si="21"/>
        <v>-283.040008</v>
      </c>
      <c r="J64" s="89"/>
      <c r="K64" s="89"/>
    </row>
    <row r="65" spans="1:12" hidden="1" x14ac:dyDescent="0.4">
      <c r="A65" s="93" t="s">
        <v>54</v>
      </c>
      <c r="B65" s="88">
        <v>35.709999000000003</v>
      </c>
      <c r="C65" s="88">
        <v>36.639999000000003</v>
      </c>
      <c r="D65" s="88">
        <v>34.130001</v>
      </c>
      <c r="E65" s="88">
        <v>36.459999000000003</v>
      </c>
      <c r="F65" s="89">
        <f t="shared" si="18"/>
        <v>-285.67999200000003</v>
      </c>
      <c r="G65" s="89">
        <f t="shared" si="19"/>
        <v>-293.11999200000002</v>
      </c>
      <c r="H65" s="89">
        <f t="shared" si="20"/>
        <v>-273.040008</v>
      </c>
      <c r="I65" s="89">
        <f t="shared" si="21"/>
        <v>-291.67999200000003</v>
      </c>
      <c r="J65" s="89"/>
      <c r="K65" s="89"/>
    </row>
    <row r="66" spans="1:12" hidden="1" x14ac:dyDescent="0.4">
      <c r="A66" s="93" t="s">
        <v>55</v>
      </c>
      <c r="B66" s="88">
        <v>36.659999999999997</v>
      </c>
      <c r="C66" s="88">
        <v>39</v>
      </c>
      <c r="D66" s="88">
        <v>36.220001000000003</v>
      </c>
      <c r="E66" s="88">
        <v>37.07</v>
      </c>
      <c r="F66" s="89">
        <f t="shared" si="18"/>
        <v>-293.27999999999997</v>
      </c>
      <c r="G66" s="89">
        <f t="shared" si="19"/>
        <v>-312</v>
      </c>
      <c r="H66" s="89">
        <f t="shared" si="20"/>
        <v>-289.76000800000003</v>
      </c>
      <c r="I66" s="89">
        <f t="shared" si="21"/>
        <v>-296.56</v>
      </c>
      <c r="J66" s="89"/>
      <c r="K66" s="89"/>
    </row>
    <row r="67" spans="1:12" hidden="1" x14ac:dyDescent="0.4">
      <c r="A67" s="93" t="s">
        <v>56</v>
      </c>
      <c r="B67" s="88">
        <v>37.200001</v>
      </c>
      <c r="C67" s="88">
        <v>37.970001000000003</v>
      </c>
      <c r="D67" s="88">
        <v>36.099997999999999</v>
      </c>
      <c r="E67" s="88">
        <v>36.57</v>
      </c>
      <c r="F67" s="89">
        <f t="shared" si="18"/>
        <v>-297.600008</v>
      </c>
      <c r="G67" s="89">
        <f t="shared" si="19"/>
        <v>-303.76000800000003</v>
      </c>
      <c r="H67" s="89">
        <f t="shared" si="20"/>
        <v>-288.79998399999999</v>
      </c>
      <c r="I67" s="89">
        <f t="shared" si="21"/>
        <v>-292.56</v>
      </c>
      <c r="J67" s="89"/>
      <c r="K67" s="89"/>
    </row>
    <row r="68" spans="1:12" hidden="1" x14ac:dyDescent="0.4">
      <c r="A68" s="93" t="s">
        <v>57</v>
      </c>
      <c r="B68" s="88">
        <v>36.68</v>
      </c>
      <c r="C68" s="88">
        <v>37.18</v>
      </c>
      <c r="D68" s="88">
        <v>34.009998000000003</v>
      </c>
      <c r="E68" s="88">
        <v>35.840000000000003</v>
      </c>
      <c r="F68" s="89">
        <f t="shared" si="18"/>
        <v>-293.44</v>
      </c>
      <c r="G68" s="89">
        <f t="shared" si="19"/>
        <v>-297.44</v>
      </c>
      <c r="H68" s="89">
        <f t="shared" si="20"/>
        <v>-272.07998400000002</v>
      </c>
      <c r="I68" s="89">
        <f t="shared" si="21"/>
        <v>-286.72000000000003</v>
      </c>
      <c r="J68" s="89"/>
      <c r="K68" s="89"/>
    </row>
    <row r="69" spans="1:12" hidden="1" x14ac:dyDescent="0.4">
      <c r="A69" s="93" t="s">
        <v>58</v>
      </c>
      <c r="B69" s="88">
        <v>35.810001</v>
      </c>
      <c r="C69" s="88">
        <v>37.5</v>
      </c>
      <c r="D69" s="88">
        <v>34.720001000000003</v>
      </c>
      <c r="E69" s="88">
        <v>34.770000000000003</v>
      </c>
      <c r="F69" s="89">
        <f t="shared" si="18"/>
        <v>-286.480008</v>
      </c>
      <c r="G69" s="89">
        <f t="shared" si="19"/>
        <v>-300</v>
      </c>
      <c r="H69" s="89">
        <f t="shared" si="20"/>
        <v>-277.76000800000003</v>
      </c>
      <c r="I69" s="89">
        <f t="shared" si="21"/>
        <v>-278.16000000000003</v>
      </c>
      <c r="J69" s="89"/>
      <c r="K69" s="89"/>
    </row>
    <row r="70" spans="1:12" hidden="1" x14ac:dyDescent="0.4">
      <c r="A70" s="93" t="s">
        <v>59</v>
      </c>
      <c r="B70" s="88">
        <v>35</v>
      </c>
      <c r="C70" s="88">
        <v>36.549999</v>
      </c>
      <c r="D70" s="88">
        <v>34.110000999999997</v>
      </c>
      <c r="E70" s="88">
        <v>36.549999</v>
      </c>
      <c r="F70" s="89">
        <f t="shared" si="18"/>
        <v>-280</v>
      </c>
      <c r="G70" s="89">
        <f t="shared" si="19"/>
        <v>-292.399992</v>
      </c>
      <c r="H70" s="89">
        <f t="shared" si="20"/>
        <v>-272.88000799999998</v>
      </c>
      <c r="I70" s="89">
        <f t="shared" si="21"/>
        <v>-292.399992</v>
      </c>
      <c r="J70" s="89"/>
      <c r="K70" s="89"/>
    </row>
    <row r="71" spans="1:12" hidden="1" x14ac:dyDescent="0.4">
      <c r="A71" s="93" t="s">
        <v>60</v>
      </c>
      <c r="B71" s="88">
        <v>36.270000000000003</v>
      </c>
      <c r="C71" s="88">
        <v>37.900002000000001</v>
      </c>
      <c r="D71" s="88">
        <v>35.82</v>
      </c>
      <c r="E71" s="88">
        <v>37.740001999999997</v>
      </c>
      <c r="F71" s="89">
        <f t="shared" si="18"/>
        <v>-290.16000000000003</v>
      </c>
      <c r="G71" s="89">
        <f t="shared" si="19"/>
        <v>-303.20001600000001</v>
      </c>
      <c r="H71" s="89">
        <f t="shared" si="20"/>
        <v>-286.56</v>
      </c>
      <c r="I71" s="89">
        <f t="shared" si="21"/>
        <v>-301.92001599999998</v>
      </c>
      <c r="J71" s="89">
        <f t="shared" ref="J71" si="31">-MAX(C71:C82)*12*J$1</f>
        <v>-3417.12</v>
      </c>
      <c r="K71" s="89">
        <f t="shared" ref="K71" si="32">-MIN(D71:D82)*12*K$1</f>
        <v>-4270.1997359999996</v>
      </c>
      <c r="L71" s="89">
        <f t="shared" ref="L71" si="33">L62</f>
        <v>0</v>
      </c>
    </row>
    <row r="72" spans="1:12" hidden="1" x14ac:dyDescent="0.4">
      <c r="A72" s="93" t="s">
        <v>61</v>
      </c>
      <c r="B72" s="88">
        <v>37.659999999999997</v>
      </c>
      <c r="C72" s="88">
        <v>37.659999999999997</v>
      </c>
      <c r="D72" s="88">
        <v>33.700001</v>
      </c>
      <c r="E72" s="88">
        <v>34.889999000000003</v>
      </c>
      <c r="F72" s="89">
        <f t="shared" si="18"/>
        <v>-301.27999999999997</v>
      </c>
      <c r="G72" s="89">
        <f t="shared" si="19"/>
        <v>-301.27999999999997</v>
      </c>
      <c r="H72" s="89">
        <f t="shared" si="20"/>
        <v>-269.600008</v>
      </c>
      <c r="I72" s="89">
        <f t="shared" si="21"/>
        <v>-279.11999200000002</v>
      </c>
      <c r="J72" s="89"/>
      <c r="K72" s="89"/>
    </row>
    <row r="73" spans="1:12" hidden="1" x14ac:dyDescent="0.4">
      <c r="A73" s="93" t="s">
        <v>62</v>
      </c>
      <c r="B73" s="88">
        <v>34.610000999999997</v>
      </c>
      <c r="C73" s="88">
        <v>35.020000000000003</v>
      </c>
      <c r="D73" s="88">
        <v>32.349997999999999</v>
      </c>
      <c r="E73" s="88">
        <v>34.020000000000003</v>
      </c>
      <c r="F73" s="89">
        <f t="shared" si="18"/>
        <v>-276.88000799999998</v>
      </c>
      <c r="G73" s="89">
        <f t="shared" si="19"/>
        <v>-280.16000000000003</v>
      </c>
      <c r="H73" s="89">
        <f t="shared" si="20"/>
        <v>-258.79998399999999</v>
      </c>
      <c r="I73" s="89">
        <f t="shared" si="21"/>
        <v>-272.16000000000003</v>
      </c>
      <c r="J73" s="89"/>
      <c r="K73" s="89"/>
    </row>
    <row r="74" spans="1:12" hidden="1" x14ac:dyDescent="0.4">
      <c r="A74" s="93" t="s">
        <v>63</v>
      </c>
      <c r="B74" s="88">
        <v>33.93</v>
      </c>
      <c r="C74" s="88">
        <v>35.849997999999999</v>
      </c>
      <c r="D74" s="88">
        <v>33.799999</v>
      </c>
      <c r="E74" s="88">
        <v>35.139999000000003</v>
      </c>
      <c r="F74" s="89">
        <f t="shared" si="18"/>
        <v>-271.44</v>
      </c>
      <c r="G74" s="89">
        <f t="shared" si="19"/>
        <v>-286.79998399999999</v>
      </c>
      <c r="H74" s="89">
        <f t="shared" si="20"/>
        <v>-270.399992</v>
      </c>
      <c r="I74" s="89">
        <f t="shared" si="21"/>
        <v>-281.11999200000002</v>
      </c>
      <c r="J74" s="89"/>
      <c r="K74" s="89"/>
    </row>
    <row r="75" spans="1:12" hidden="1" x14ac:dyDescent="0.4">
      <c r="A75" s="93" t="s">
        <v>64</v>
      </c>
      <c r="B75" s="88">
        <v>35.450001</v>
      </c>
      <c r="C75" s="88">
        <v>37.240001999999997</v>
      </c>
      <c r="D75" s="88">
        <v>35.200001</v>
      </c>
      <c r="E75" s="88">
        <v>36.900002000000001</v>
      </c>
      <c r="F75" s="89">
        <f t="shared" si="18"/>
        <v>-283.600008</v>
      </c>
      <c r="G75" s="89">
        <f t="shared" si="19"/>
        <v>-297.92001599999998</v>
      </c>
      <c r="H75" s="89">
        <f t="shared" si="20"/>
        <v>-281.600008</v>
      </c>
      <c r="I75" s="89">
        <f t="shared" si="21"/>
        <v>-295.20001600000001</v>
      </c>
      <c r="J75" s="89"/>
      <c r="K75" s="89"/>
    </row>
    <row r="76" spans="1:12" hidden="1" x14ac:dyDescent="0.4">
      <c r="A76" s="93" t="s">
        <v>65</v>
      </c>
      <c r="B76" s="88">
        <v>36.979999999999997</v>
      </c>
      <c r="C76" s="88">
        <v>39.639999000000003</v>
      </c>
      <c r="D76" s="88">
        <v>36.799999</v>
      </c>
      <c r="E76" s="88">
        <v>39.119999</v>
      </c>
      <c r="F76" s="89">
        <f t="shared" si="18"/>
        <v>-295.83999999999997</v>
      </c>
      <c r="G76" s="89">
        <f t="shared" si="19"/>
        <v>-317.11999200000002</v>
      </c>
      <c r="H76" s="89">
        <f t="shared" si="20"/>
        <v>-294.399992</v>
      </c>
      <c r="I76" s="89">
        <f t="shared" si="21"/>
        <v>-312.959992</v>
      </c>
      <c r="J76" s="89"/>
      <c r="K76" s="89"/>
    </row>
    <row r="77" spans="1:12" hidden="1" x14ac:dyDescent="0.4">
      <c r="A77" s="93" t="s">
        <v>66</v>
      </c>
      <c r="B77" s="88">
        <v>39.270000000000003</v>
      </c>
      <c r="C77" s="88">
        <v>40.68</v>
      </c>
      <c r="D77" s="88">
        <v>39.090000000000003</v>
      </c>
      <c r="E77" s="88">
        <v>39.919998</v>
      </c>
      <c r="F77" s="89">
        <f t="shared" si="18"/>
        <v>-314.16000000000003</v>
      </c>
      <c r="G77" s="89">
        <f t="shared" si="19"/>
        <v>-325.44</v>
      </c>
      <c r="H77" s="89">
        <f t="shared" si="20"/>
        <v>-312.72000000000003</v>
      </c>
      <c r="I77" s="89">
        <f t="shared" si="21"/>
        <v>-319.359984</v>
      </c>
      <c r="J77" s="89"/>
      <c r="K77" s="89"/>
    </row>
    <row r="78" spans="1:12" hidden="1" x14ac:dyDescent="0.4">
      <c r="A78" s="93" t="s">
        <v>67</v>
      </c>
      <c r="B78" s="88">
        <v>40.090000000000003</v>
      </c>
      <c r="C78" s="88">
        <v>40.290000999999997</v>
      </c>
      <c r="D78" s="88">
        <v>36.459999000000003</v>
      </c>
      <c r="E78" s="88">
        <v>37.400002000000001</v>
      </c>
      <c r="F78" s="89">
        <f t="shared" si="18"/>
        <v>-320.72000000000003</v>
      </c>
      <c r="G78" s="89">
        <f t="shared" si="19"/>
        <v>-322.32000799999997</v>
      </c>
      <c r="H78" s="89">
        <f t="shared" si="20"/>
        <v>-291.67999200000003</v>
      </c>
      <c r="I78" s="89">
        <f t="shared" si="21"/>
        <v>-299.20001600000001</v>
      </c>
      <c r="J78" s="89"/>
      <c r="K78" s="89"/>
    </row>
    <row r="79" spans="1:12" hidden="1" x14ac:dyDescent="0.4">
      <c r="A79" s="93" t="s">
        <v>68</v>
      </c>
      <c r="B79" s="88">
        <v>37.490001999999997</v>
      </c>
      <c r="C79" s="88">
        <v>38.479999999999997</v>
      </c>
      <c r="D79" s="88">
        <v>36.700001</v>
      </c>
      <c r="E79" s="88">
        <v>37.220001000000003</v>
      </c>
      <c r="F79" s="89">
        <f t="shared" si="18"/>
        <v>-299.92001599999998</v>
      </c>
      <c r="G79" s="89">
        <f t="shared" si="19"/>
        <v>-307.83999999999997</v>
      </c>
      <c r="H79" s="89">
        <f t="shared" si="20"/>
        <v>-293.600008</v>
      </c>
      <c r="I79" s="89">
        <f t="shared" si="21"/>
        <v>-297.76000800000003</v>
      </c>
      <c r="J79" s="89"/>
      <c r="K79" s="89"/>
    </row>
    <row r="80" spans="1:12" hidden="1" x14ac:dyDescent="0.4">
      <c r="A80" s="93" t="s">
        <v>69</v>
      </c>
      <c r="B80" s="88">
        <v>37.369999</v>
      </c>
      <c r="C80" s="88">
        <v>38.290000999999997</v>
      </c>
      <c r="D80" s="88">
        <v>35.939999</v>
      </c>
      <c r="E80" s="88">
        <v>36.57</v>
      </c>
      <c r="F80" s="89">
        <f t="shared" si="18"/>
        <v>-298.959992</v>
      </c>
      <c r="G80" s="89">
        <f t="shared" si="19"/>
        <v>-306.32000799999997</v>
      </c>
      <c r="H80" s="89">
        <f t="shared" si="20"/>
        <v>-287.519992</v>
      </c>
      <c r="I80" s="89">
        <f t="shared" si="21"/>
        <v>-292.56</v>
      </c>
      <c r="J80" s="89"/>
      <c r="K80" s="89"/>
    </row>
    <row r="81" spans="1:12" hidden="1" x14ac:dyDescent="0.4">
      <c r="A81" s="93" t="s">
        <v>70</v>
      </c>
      <c r="B81" s="88">
        <v>36.82</v>
      </c>
      <c r="C81" s="88">
        <v>37.07</v>
      </c>
      <c r="D81" s="88">
        <v>34.349997999999999</v>
      </c>
      <c r="E81" s="88">
        <v>34.979999999999997</v>
      </c>
      <c r="F81" s="89">
        <f t="shared" si="18"/>
        <v>-294.56</v>
      </c>
      <c r="G81" s="89">
        <f t="shared" si="19"/>
        <v>-296.56</v>
      </c>
      <c r="H81" s="89">
        <f t="shared" si="20"/>
        <v>-274.79998399999999</v>
      </c>
      <c r="I81" s="89">
        <f t="shared" si="21"/>
        <v>-279.83999999999997</v>
      </c>
      <c r="J81" s="89"/>
      <c r="K81" s="89"/>
    </row>
    <row r="82" spans="1:12" hidden="1" x14ac:dyDescent="0.4">
      <c r="A82" s="93" t="s">
        <v>71</v>
      </c>
      <c r="B82" s="88">
        <v>35.099997999999999</v>
      </c>
      <c r="C82" s="88">
        <v>38.270000000000003</v>
      </c>
      <c r="D82" s="88">
        <v>34.889999000000003</v>
      </c>
      <c r="E82" s="88">
        <v>38.080002</v>
      </c>
      <c r="F82" s="89">
        <f t="shared" si="18"/>
        <v>-280.79998399999999</v>
      </c>
      <c r="G82" s="89">
        <f t="shared" si="19"/>
        <v>-306.16000000000003</v>
      </c>
      <c r="H82" s="89">
        <f t="shared" si="20"/>
        <v>-279.11999200000002</v>
      </c>
      <c r="I82" s="89">
        <f t="shared" si="21"/>
        <v>-304.640016</v>
      </c>
      <c r="J82" s="89"/>
      <c r="K82" s="89"/>
    </row>
    <row r="83" spans="1:12" hidden="1" x14ac:dyDescent="0.4">
      <c r="A83" s="93" t="s">
        <v>72</v>
      </c>
      <c r="B83" s="88">
        <v>38.029998999999997</v>
      </c>
      <c r="C83" s="88">
        <v>38.68</v>
      </c>
      <c r="D83" s="88">
        <v>36.700001</v>
      </c>
      <c r="E83" s="88">
        <v>36.779998999999997</v>
      </c>
      <c r="F83" s="89">
        <f t="shared" si="18"/>
        <v>-304.23999199999997</v>
      </c>
      <c r="G83" s="89">
        <f t="shared" si="19"/>
        <v>-309.44</v>
      </c>
      <c r="H83" s="89">
        <f t="shared" si="20"/>
        <v>-293.600008</v>
      </c>
      <c r="I83" s="89">
        <f t="shared" si="21"/>
        <v>-294.23999199999997</v>
      </c>
      <c r="J83" s="89">
        <f t="shared" ref="J83" si="34">-MAX(C83:C94)*12*J$1</f>
        <v>-3638.0400840000002</v>
      </c>
      <c r="K83" s="89">
        <f t="shared" ref="K83" si="35">-MIN(D83:D94)*12*K$1</f>
        <v>-4824.5998680000002</v>
      </c>
      <c r="L83" s="89">
        <f t="shared" ref="L83" si="36">L74</f>
        <v>0</v>
      </c>
    </row>
    <row r="84" spans="1:12" hidden="1" x14ac:dyDescent="0.4">
      <c r="A84" s="93" t="s">
        <v>73</v>
      </c>
      <c r="B84" s="88">
        <v>36.860000999999997</v>
      </c>
      <c r="C84" s="88">
        <v>39.919998</v>
      </c>
      <c r="D84" s="88">
        <v>36.549999</v>
      </c>
      <c r="E84" s="88">
        <v>39.580002</v>
      </c>
      <c r="F84" s="89">
        <f t="shared" si="18"/>
        <v>-294.88000799999998</v>
      </c>
      <c r="G84" s="89">
        <f t="shared" si="19"/>
        <v>-319.359984</v>
      </c>
      <c r="H84" s="89">
        <f t="shared" si="20"/>
        <v>-292.399992</v>
      </c>
      <c r="I84" s="89">
        <f t="shared" si="21"/>
        <v>-316.640016</v>
      </c>
      <c r="J84" s="89"/>
      <c r="K84" s="89"/>
    </row>
    <row r="85" spans="1:12" hidden="1" x14ac:dyDescent="0.4">
      <c r="A85" s="93" t="s">
        <v>74</v>
      </c>
      <c r="B85" s="88">
        <v>39.639999000000003</v>
      </c>
      <c r="C85" s="88">
        <v>40.139999000000003</v>
      </c>
      <c r="D85" s="88">
        <v>38.259998000000003</v>
      </c>
      <c r="E85" s="88">
        <v>38.979999999999997</v>
      </c>
      <c r="F85" s="89">
        <f t="shared" si="18"/>
        <v>-317.11999200000002</v>
      </c>
      <c r="G85" s="89">
        <f t="shared" si="19"/>
        <v>-321.11999200000002</v>
      </c>
      <c r="H85" s="89">
        <f t="shared" si="20"/>
        <v>-306.07998400000002</v>
      </c>
      <c r="I85" s="89">
        <f t="shared" si="21"/>
        <v>-311.83999999999997</v>
      </c>
      <c r="J85" s="89"/>
      <c r="K85" s="89"/>
    </row>
    <row r="86" spans="1:12" hidden="1" x14ac:dyDescent="0.4">
      <c r="A86" s="93" t="s">
        <v>75</v>
      </c>
      <c r="B86" s="88">
        <v>39</v>
      </c>
      <c r="C86" s="88">
        <v>39.909999999999997</v>
      </c>
      <c r="D86" s="88">
        <v>38.240001999999997</v>
      </c>
      <c r="E86" s="88">
        <v>39.459999000000003</v>
      </c>
      <c r="F86" s="89">
        <f t="shared" si="18"/>
        <v>-312</v>
      </c>
      <c r="G86" s="89">
        <f t="shared" si="19"/>
        <v>-319.27999999999997</v>
      </c>
      <c r="H86" s="89">
        <f t="shared" si="20"/>
        <v>-305.92001599999998</v>
      </c>
      <c r="I86" s="89">
        <f t="shared" si="21"/>
        <v>-315.67999200000003</v>
      </c>
      <c r="J86" s="89"/>
      <c r="K86" s="89"/>
    </row>
    <row r="87" spans="1:12" hidden="1" x14ac:dyDescent="0.4">
      <c r="A87" s="93" t="s">
        <v>76</v>
      </c>
      <c r="B87" s="88">
        <v>39.540000999999997</v>
      </c>
      <c r="C87" s="88">
        <v>39.880001</v>
      </c>
      <c r="D87" s="88">
        <v>37.330002</v>
      </c>
      <c r="E87" s="88">
        <v>38.869999</v>
      </c>
      <c r="F87" s="89">
        <f t="shared" si="18"/>
        <v>-316.32000799999997</v>
      </c>
      <c r="G87" s="89">
        <f t="shared" si="19"/>
        <v>-319.040008</v>
      </c>
      <c r="H87" s="89">
        <f t="shared" si="20"/>
        <v>-298.640016</v>
      </c>
      <c r="I87" s="89">
        <f t="shared" si="21"/>
        <v>-310.959992</v>
      </c>
      <c r="J87" s="89"/>
      <c r="K87" s="89"/>
    </row>
    <row r="88" spans="1:12" hidden="1" x14ac:dyDescent="0.4">
      <c r="A88" s="93" t="s">
        <v>77</v>
      </c>
      <c r="B88" s="88">
        <v>38.779998999999997</v>
      </c>
      <c r="C88" s="88">
        <v>42.02</v>
      </c>
      <c r="D88" s="88">
        <v>38.709999000000003</v>
      </c>
      <c r="E88" s="88">
        <v>41.240001999999997</v>
      </c>
      <c r="F88" s="89">
        <f t="shared" ref="F88:F151" si="37">-B88*F$1</f>
        <v>-310.23999199999997</v>
      </c>
      <c r="G88" s="89">
        <f t="shared" ref="G88:G151" si="38">-C88*G$1</f>
        <v>-336.16</v>
      </c>
      <c r="H88" s="89">
        <f t="shared" ref="H88:H151" si="39">-D88*H$1</f>
        <v>-309.67999200000003</v>
      </c>
      <c r="I88" s="89">
        <f t="shared" ref="I88:I151" si="40">-E88*I$1</f>
        <v>-329.92001599999998</v>
      </c>
      <c r="J88" s="89"/>
      <c r="K88" s="89"/>
    </row>
    <row r="89" spans="1:12" hidden="1" x14ac:dyDescent="0.4">
      <c r="A89" s="93" t="s">
        <v>78</v>
      </c>
      <c r="B89" s="88">
        <v>41.509998000000003</v>
      </c>
      <c r="C89" s="88">
        <v>42.310001</v>
      </c>
      <c r="D89" s="88">
        <v>40.360000999999997</v>
      </c>
      <c r="E89" s="88">
        <v>40.409999999999997</v>
      </c>
      <c r="F89" s="89">
        <f t="shared" si="37"/>
        <v>-332.07998400000002</v>
      </c>
      <c r="G89" s="89">
        <f t="shared" si="38"/>
        <v>-338.480008</v>
      </c>
      <c r="H89" s="89">
        <f t="shared" si="39"/>
        <v>-322.88000799999998</v>
      </c>
      <c r="I89" s="89">
        <f t="shared" si="40"/>
        <v>-323.27999999999997</v>
      </c>
      <c r="J89" s="89"/>
      <c r="K89" s="89"/>
    </row>
    <row r="90" spans="1:12" hidden="1" x14ac:dyDescent="0.4">
      <c r="A90" s="93" t="s">
        <v>79</v>
      </c>
      <c r="B90" s="88">
        <v>40.650002000000001</v>
      </c>
      <c r="C90" s="88">
        <v>43.310001</v>
      </c>
      <c r="D90" s="88">
        <v>40.159999999999997</v>
      </c>
      <c r="E90" s="88">
        <v>42</v>
      </c>
      <c r="F90" s="89">
        <f t="shared" si="37"/>
        <v>-325.20001600000001</v>
      </c>
      <c r="G90" s="89">
        <f t="shared" si="38"/>
        <v>-346.480008</v>
      </c>
      <c r="H90" s="89">
        <f t="shared" si="39"/>
        <v>-321.27999999999997</v>
      </c>
      <c r="I90" s="89">
        <f t="shared" si="40"/>
        <v>-336</v>
      </c>
      <c r="J90" s="89"/>
      <c r="K90" s="89"/>
    </row>
    <row r="91" spans="1:12" hidden="1" x14ac:dyDescent="0.4">
      <c r="A91" s="93" t="s">
        <v>80</v>
      </c>
      <c r="B91" s="88">
        <v>41.740001999999997</v>
      </c>
      <c r="C91" s="88">
        <v>42.169998</v>
      </c>
      <c r="D91" s="88">
        <v>40.259998000000003</v>
      </c>
      <c r="E91" s="88">
        <v>41.099997999999999</v>
      </c>
      <c r="F91" s="89">
        <f t="shared" si="37"/>
        <v>-333.92001599999998</v>
      </c>
      <c r="G91" s="89">
        <f t="shared" si="38"/>
        <v>-337.359984</v>
      </c>
      <c r="H91" s="89">
        <f t="shared" si="39"/>
        <v>-322.07998400000002</v>
      </c>
      <c r="I91" s="89">
        <f t="shared" si="40"/>
        <v>-328.79998399999999</v>
      </c>
      <c r="J91" s="89"/>
      <c r="K91" s="89"/>
    </row>
    <row r="92" spans="1:12" hidden="1" x14ac:dyDescent="0.4">
      <c r="A92" s="93" t="s">
        <v>81</v>
      </c>
      <c r="B92" s="88">
        <v>41.23</v>
      </c>
      <c r="C92" s="88">
        <v>42.299999</v>
      </c>
      <c r="D92" s="88">
        <v>40.189999</v>
      </c>
      <c r="E92" s="88">
        <v>41.93</v>
      </c>
      <c r="F92" s="89">
        <f t="shared" si="37"/>
        <v>-329.84</v>
      </c>
      <c r="G92" s="89">
        <f t="shared" si="38"/>
        <v>-338.399992</v>
      </c>
      <c r="H92" s="89">
        <f t="shared" si="39"/>
        <v>-321.519992</v>
      </c>
      <c r="I92" s="89">
        <f t="shared" si="40"/>
        <v>-335.44</v>
      </c>
      <c r="J92" s="89"/>
      <c r="K92" s="89"/>
    </row>
    <row r="93" spans="1:12" hidden="1" x14ac:dyDescent="0.4">
      <c r="A93" s="93" t="s">
        <v>82</v>
      </c>
      <c r="B93" s="88">
        <v>42.150002000000001</v>
      </c>
      <c r="C93" s="88">
        <v>43.049999</v>
      </c>
      <c r="D93" s="88">
        <v>41.389999000000003</v>
      </c>
      <c r="E93" s="88">
        <v>41.849997999999999</v>
      </c>
      <c r="F93" s="89">
        <f t="shared" si="37"/>
        <v>-337.20001600000001</v>
      </c>
      <c r="G93" s="89">
        <f t="shared" si="38"/>
        <v>-344.399992</v>
      </c>
      <c r="H93" s="89">
        <f t="shared" si="39"/>
        <v>-331.11999200000002</v>
      </c>
      <c r="I93" s="89">
        <f t="shared" si="40"/>
        <v>-334.79998399999999</v>
      </c>
      <c r="J93" s="89"/>
      <c r="K93" s="89"/>
    </row>
    <row r="94" spans="1:12" hidden="1" x14ac:dyDescent="0.4">
      <c r="A94" s="93" t="s">
        <v>83</v>
      </c>
      <c r="B94" s="88">
        <v>41.919998</v>
      </c>
      <c r="C94" s="88">
        <v>42.279998999999997</v>
      </c>
      <c r="D94" s="88">
        <v>38.229999999999997</v>
      </c>
      <c r="E94" s="88">
        <v>38.82</v>
      </c>
      <c r="F94" s="89">
        <f t="shared" si="37"/>
        <v>-335.359984</v>
      </c>
      <c r="G94" s="89">
        <f t="shared" si="38"/>
        <v>-338.23999199999997</v>
      </c>
      <c r="H94" s="89">
        <f t="shared" si="39"/>
        <v>-305.83999999999997</v>
      </c>
      <c r="I94" s="89">
        <f t="shared" si="40"/>
        <v>-310.56</v>
      </c>
      <c r="J94" s="89"/>
      <c r="K94" s="89"/>
    </row>
    <row r="95" spans="1:12" hidden="1" x14ac:dyDescent="0.4">
      <c r="A95" s="93" t="s">
        <v>84</v>
      </c>
      <c r="B95" s="88">
        <v>38.93</v>
      </c>
      <c r="C95" s="88">
        <v>40</v>
      </c>
      <c r="D95" s="88">
        <v>37.159999999999997</v>
      </c>
      <c r="E95" s="88">
        <v>38.770000000000003</v>
      </c>
      <c r="F95" s="89">
        <f t="shared" si="37"/>
        <v>-311.44</v>
      </c>
      <c r="G95" s="89">
        <f t="shared" si="38"/>
        <v>-320</v>
      </c>
      <c r="H95" s="89">
        <f t="shared" si="39"/>
        <v>-297.27999999999997</v>
      </c>
      <c r="I95" s="89">
        <f t="shared" si="40"/>
        <v>-310.16000000000003</v>
      </c>
      <c r="J95" s="89">
        <f t="shared" ref="J95" si="41">-MAX(C95:C106)*12*J$1</f>
        <v>-3991.6800000000003</v>
      </c>
      <c r="K95" s="89">
        <f t="shared" ref="K95" si="42">-MIN(D95:D106)*12*K$1</f>
        <v>-4691.2801319999999</v>
      </c>
      <c r="L95" s="89">
        <f t="shared" ref="L95" si="43">L86</f>
        <v>0</v>
      </c>
    </row>
    <row r="96" spans="1:12" hidden="1" x14ac:dyDescent="0.4">
      <c r="A96" s="93" t="s">
        <v>85</v>
      </c>
      <c r="B96" s="88">
        <v>38.889999000000003</v>
      </c>
      <c r="C96" s="88">
        <v>39</v>
      </c>
      <c r="D96" s="88">
        <v>35.540000999999997</v>
      </c>
      <c r="E96" s="88">
        <v>37.099997999999999</v>
      </c>
      <c r="F96" s="89">
        <f t="shared" si="37"/>
        <v>-311.11999200000002</v>
      </c>
      <c r="G96" s="89">
        <f t="shared" si="38"/>
        <v>-312</v>
      </c>
      <c r="H96" s="89">
        <f t="shared" si="39"/>
        <v>-284.32000799999997</v>
      </c>
      <c r="I96" s="89">
        <f t="shared" si="40"/>
        <v>-296.79998399999999</v>
      </c>
      <c r="J96" s="89"/>
      <c r="K96" s="89"/>
    </row>
    <row r="97" spans="1:12" hidden="1" x14ac:dyDescent="0.4">
      <c r="A97" s="93" t="s">
        <v>86</v>
      </c>
      <c r="B97" s="88">
        <v>36.770000000000003</v>
      </c>
      <c r="C97" s="88">
        <v>39.029998999999997</v>
      </c>
      <c r="D97" s="88">
        <v>36.259998000000003</v>
      </c>
      <c r="E97" s="88">
        <v>38.869999</v>
      </c>
      <c r="F97" s="89">
        <f t="shared" si="37"/>
        <v>-294.16000000000003</v>
      </c>
      <c r="G97" s="89">
        <f t="shared" si="38"/>
        <v>-312.23999199999997</v>
      </c>
      <c r="H97" s="89">
        <f t="shared" si="39"/>
        <v>-290.07998400000002</v>
      </c>
      <c r="I97" s="89">
        <f t="shared" si="40"/>
        <v>-310.959992</v>
      </c>
      <c r="J97" s="89"/>
      <c r="K97" s="89"/>
    </row>
    <row r="98" spans="1:12" hidden="1" x14ac:dyDescent="0.4">
      <c r="A98" s="93" t="s">
        <v>87</v>
      </c>
      <c r="B98" s="88">
        <v>39.080002</v>
      </c>
      <c r="C98" s="88">
        <v>40.950001</v>
      </c>
      <c r="D98" s="88">
        <v>38.32</v>
      </c>
      <c r="E98" s="88">
        <v>40.650002000000001</v>
      </c>
      <c r="F98" s="89">
        <f t="shared" si="37"/>
        <v>-312.640016</v>
      </c>
      <c r="G98" s="89">
        <f t="shared" si="38"/>
        <v>-327.600008</v>
      </c>
      <c r="H98" s="89">
        <f t="shared" si="39"/>
        <v>-306.56</v>
      </c>
      <c r="I98" s="89">
        <f t="shared" si="40"/>
        <v>-325.20001600000001</v>
      </c>
      <c r="J98" s="89"/>
      <c r="K98" s="89"/>
    </row>
    <row r="99" spans="1:12" hidden="1" x14ac:dyDescent="0.4">
      <c r="A99" s="93" t="s">
        <v>88</v>
      </c>
      <c r="B99" s="88">
        <v>40.599997999999999</v>
      </c>
      <c r="C99" s="88">
        <v>42.919998</v>
      </c>
      <c r="D99" s="88">
        <v>39.880001</v>
      </c>
      <c r="E99" s="88">
        <v>42.580002</v>
      </c>
      <c r="F99" s="89">
        <f t="shared" si="37"/>
        <v>-324.79998399999999</v>
      </c>
      <c r="G99" s="89">
        <f t="shared" si="38"/>
        <v>-343.359984</v>
      </c>
      <c r="H99" s="89">
        <f t="shared" si="39"/>
        <v>-319.040008</v>
      </c>
      <c r="I99" s="89">
        <f t="shared" si="40"/>
        <v>-340.640016</v>
      </c>
      <c r="J99" s="89"/>
      <c r="K99" s="89"/>
    </row>
    <row r="100" spans="1:12" hidden="1" x14ac:dyDescent="0.4">
      <c r="A100" s="93" t="s">
        <v>89</v>
      </c>
      <c r="B100" s="88">
        <v>42.73</v>
      </c>
      <c r="C100" s="88">
        <v>44.860000999999997</v>
      </c>
      <c r="D100" s="88">
        <v>41.610000999999997</v>
      </c>
      <c r="E100" s="88">
        <v>44.040000999999997</v>
      </c>
      <c r="F100" s="89">
        <f t="shared" si="37"/>
        <v>-341.84</v>
      </c>
      <c r="G100" s="89">
        <f t="shared" si="38"/>
        <v>-358.88000799999998</v>
      </c>
      <c r="H100" s="89">
        <f t="shared" si="39"/>
        <v>-332.88000799999998</v>
      </c>
      <c r="I100" s="89">
        <f t="shared" si="40"/>
        <v>-352.32000799999997</v>
      </c>
      <c r="J100" s="89"/>
      <c r="K100" s="89"/>
    </row>
    <row r="101" spans="1:12" hidden="1" x14ac:dyDescent="0.4">
      <c r="A101" s="93" t="s">
        <v>90</v>
      </c>
      <c r="B101" s="88">
        <v>44</v>
      </c>
      <c r="C101" s="88">
        <v>44.759998000000003</v>
      </c>
      <c r="D101" s="88">
        <v>42.880001</v>
      </c>
      <c r="E101" s="88">
        <v>43.16</v>
      </c>
      <c r="F101" s="89">
        <f t="shared" si="37"/>
        <v>-352</v>
      </c>
      <c r="G101" s="89">
        <f t="shared" si="38"/>
        <v>-358.07998400000002</v>
      </c>
      <c r="H101" s="89">
        <f t="shared" si="39"/>
        <v>-343.040008</v>
      </c>
      <c r="I101" s="89">
        <f t="shared" si="40"/>
        <v>-345.28</v>
      </c>
      <c r="J101" s="89"/>
      <c r="K101" s="89"/>
    </row>
    <row r="102" spans="1:12" hidden="1" x14ac:dyDescent="0.4">
      <c r="A102" s="93" t="s">
        <v>91</v>
      </c>
      <c r="B102" s="88">
        <v>43.459999000000003</v>
      </c>
      <c r="C102" s="88">
        <v>45.400002000000001</v>
      </c>
      <c r="D102" s="88">
        <v>42.52</v>
      </c>
      <c r="E102" s="88">
        <v>44.07</v>
      </c>
      <c r="F102" s="89">
        <f t="shared" si="37"/>
        <v>-347.67999200000003</v>
      </c>
      <c r="G102" s="89">
        <f t="shared" si="38"/>
        <v>-363.20001600000001</v>
      </c>
      <c r="H102" s="89">
        <f t="shared" si="39"/>
        <v>-340.16</v>
      </c>
      <c r="I102" s="89">
        <f t="shared" si="40"/>
        <v>-352.56</v>
      </c>
      <c r="J102" s="89"/>
      <c r="K102" s="89"/>
    </row>
    <row r="103" spans="1:12" hidden="1" x14ac:dyDescent="0.4">
      <c r="A103" s="93" t="s">
        <v>92</v>
      </c>
      <c r="B103" s="88">
        <v>44.27</v>
      </c>
      <c r="C103" s="88">
        <v>45.549999</v>
      </c>
      <c r="D103" s="88">
        <v>42.93</v>
      </c>
      <c r="E103" s="88">
        <v>43.330002</v>
      </c>
      <c r="F103" s="89">
        <f t="shared" si="37"/>
        <v>-354.16</v>
      </c>
      <c r="G103" s="89">
        <f t="shared" si="38"/>
        <v>-364.399992</v>
      </c>
      <c r="H103" s="89">
        <f t="shared" si="39"/>
        <v>-343.44</v>
      </c>
      <c r="I103" s="89">
        <f t="shared" si="40"/>
        <v>-346.640016</v>
      </c>
      <c r="J103" s="89"/>
      <c r="K103" s="89"/>
    </row>
    <row r="104" spans="1:12" hidden="1" x14ac:dyDescent="0.4">
      <c r="A104" s="93" t="s">
        <v>93</v>
      </c>
      <c r="B104" s="88">
        <v>42.549999</v>
      </c>
      <c r="C104" s="88">
        <v>44.450001</v>
      </c>
      <c r="D104" s="88">
        <v>42.060001</v>
      </c>
      <c r="E104" s="88">
        <v>43.529998999999997</v>
      </c>
      <c r="F104" s="89">
        <f t="shared" si="37"/>
        <v>-340.399992</v>
      </c>
      <c r="G104" s="89">
        <f t="shared" si="38"/>
        <v>-355.600008</v>
      </c>
      <c r="H104" s="89">
        <f t="shared" si="39"/>
        <v>-336.480008</v>
      </c>
      <c r="I104" s="89">
        <f t="shared" si="40"/>
        <v>-348.23999199999997</v>
      </c>
      <c r="J104" s="89"/>
      <c r="K104" s="89"/>
    </row>
    <row r="105" spans="1:12" hidden="1" x14ac:dyDescent="0.4">
      <c r="A105" s="93" t="s">
        <v>94</v>
      </c>
      <c r="B105" s="88">
        <v>43.669998</v>
      </c>
      <c r="C105" s="88">
        <v>46.700001</v>
      </c>
      <c r="D105" s="88">
        <v>43.299999</v>
      </c>
      <c r="E105" s="88">
        <v>45.959999000000003</v>
      </c>
      <c r="F105" s="89">
        <f t="shared" si="37"/>
        <v>-349.359984</v>
      </c>
      <c r="G105" s="89">
        <f t="shared" si="38"/>
        <v>-373.600008</v>
      </c>
      <c r="H105" s="89">
        <f t="shared" si="39"/>
        <v>-346.399992</v>
      </c>
      <c r="I105" s="89">
        <f t="shared" si="40"/>
        <v>-367.67999200000003</v>
      </c>
      <c r="J105" s="89"/>
      <c r="K105" s="89"/>
    </row>
    <row r="106" spans="1:12" hidden="1" x14ac:dyDescent="0.4">
      <c r="A106" s="93" t="s">
        <v>95</v>
      </c>
      <c r="B106" s="88">
        <v>45.970001000000003</v>
      </c>
      <c r="C106" s="88">
        <v>47.52</v>
      </c>
      <c r="D106" s="88">
        <v>45.66</v>
      </c>
      <c r="E106" s="88">
        <v>47.41</v>
      </c>
      <c r="F106" s="89">
        <f t="shared" si="37"/>
        <v>-367.76000800000003</v>
      </c>
      <c r="G106" s="89">
        <f t="shared" si="38"/>
        <v>-380.16</v>
      </c>
      <c r="H106" s="89">
        <f t="shared" si="39"/>
        <v>-365.28</v>
      </c>
      <c r="I106" s="89">
        <f t="shared" si="40"/>
        <v>-379.28</v>
      </c>
      <c r="J106" s="89"/>
      <c r="K106" s="89"/>
    </row>
    <row r="107" spans="1:12" hidden="1" x14ac:dyDescent="0.4">
      <c r="A107" s="93" t="s">
        <v>96</v>
      </c>
      <c r="B107" s="88">
        <v>47.580002</v>
      </c>
      <c r="C107" s="88">
        <v>47.919998</v>
      </c>
      <c r="D107" s="88">
        <v>46.16</v>
      </c>
      <c r="E107" s="88">
        <v>47.599997999999999</v>
      </c>
      <c r="F107" s="89">
        <f t="shared" si="37"/>
        <v>-380.640016</v>
      </c>
      <c r="G107" s="89">
        <f t="shared" si="38"/>
        <v>-383.359984</v>
      </c>
      <c r="H107" s="89">
        <f t="shared" si="39"/>
        <v>-369.28</v>
      </c>
      <c r="I107" s="89">
        <f t="shared" si="40"/>
        <v>-380.79998399999999</v>
      </c>
      <c r="J107" s="89">
        <f t="shared" ref="J107" si="44">-MAX(C107:C118)*12*J$1</f>
        <v>-4625.88</v>
      </c>
      <c r="K107" s="89">
        <f t="shared" ref="K107" si="45">-MIN(D107:D118)*12*K$1</f>
        <v>-5418.5998680000002</v>
      </c>
      <c r="L107" s="89">
        <f t="shared" ref="L107" si="46">L98</f>
        <v>0</v>
      </c>
    </row>
    <row r="108" spans="1:12" hidden="1" x14ac:dyDescent="0.4">
      <c r="A108" s="93" t="s">
        <v>97</v>
      </c>
      <c r="B108" s="88">
        <v>47.709999000000003</v>
      </c>
      <c r="C108" s="88">
        <v>50.66</v>
      </c>
      <c r="D108" s="88">
        <v>47.43</v>
      </c>
      <c r="E108" s="88">
        <v>47.529998999999997</v>
      </c>
      <c r="F108" s="89">
        <f t="shared" si="37"/>
        <v>-381.67999200000003</v>
      </c>
      <c r="G108" s="89">
        <f t="shared" si="38"/>
        <v>-405.28</v>
      </c>
      <c r="H108" s="89">
        <f t="shared" si="39"/>
        <v>-379.44</v>
      </c>
      <c r="I108" s="89">
        <f t="shared" si="40"/>
        <v>-380.23999199999997</v>
      </c>
      <c r="J108" s="89"/>
      <c r="K108" s="89"/>
    </row>
    <row r="109" spans="1:12" hidden="1" x14ac:dyDescent="0.4">
      <c r="A109" s="93" t="s">
        <v>98</v>
      </c>
      <c r="B109" s="88">
        <v>47.389999000000003</v>
      </c>
      <c r="C109" s="88">
        <v>49.060001</v>
      </c>
      <c r="D109" s="88">
        <v>44.389999000000003</v>
      </c>
      <c r="E109" s="88">
        <v>48.869999</v>
      </c>
      <c r="F109" s="89">
        <f t="shared" si="37"/>
        <v>-379.11999200000002</v>
      </c>
      <c r="G109" s="89">
        <f t="shared" si="38"/>
        <v>-392.480008</v>
      </c>
      <c r="H109" s="89">
        <f t="shared" si="39"/>
        <v>-355.11999200000002</v>
      </c>
      <c r="I109" s="89">
        <f t="shared" si="40"/>
        <v>-390.959992</v>
      </c>
      <c r="J109" s="89"/>
      <c r="K109" s="89"/>
    </row>
    <row r="110" spans="1:12" hidden="1" x14ac:dyDescent="0.4">
      <c r="A110" s="93" t="s">
        <v>99</v>
      </c>
      <c r="B110" s="88">
        <v>48.93</v>
      </c>
      <c r="C110" s="88">
        <v>51.68</v>
      </c>
      <c r="D110" s="88">
        <v>47.810001</v>
      </c>
      <c r="E110" s="88">
        <v>51.41</v>
      </c>
      <c r="F110" s="89">
        <f t="shared" si="37"/>
        <v>-391.44</v>
      </c>
      <c r="G110" s="89">
        <f t="shared" si="38"/>
        <v>-413.44</v>
      </c>
      <c r="H110" s="89">
        <f t="shared" si="39"/>
        <v>-382.480008</v>
      </c>
      <c r="I110" s="89">
        <f t="shared" si="40"/>
        <v>-411.28</v>
      </c>
      <c r="J110" s="89"/>
      <c r="K110" s="89"/>
    </row>
    <row r="111" spans="1:12" hidden="1" x14ac:dyDescent="0.4">
      <c r="A111" s="93" t="s">
        <v>100</v>
      </c>
      <c r="B111" s="88">
        <v>51.450001</v>
      </c>
      <c r="C111" s="88">
        <v>55.07</v>
      </c>
      <c r="D111" s="88">
        <v>51.34</v>
      </c>
      <c r="E111" s="88">
        <v>55.029998999999997</v>
      </c>
      <c r="F111" s="89">
        <f t="shared" si="37"/>
        <v>-411.600008</v>
      </c>
      <c r="G111" s="89">
        <f t="shared" si="38"/>
        <v>-440.56</v>
      </c>
      <c r="H111" s="89">
        <f t="shared" si="39"/>
        <v>-410.72</v>
      </c>
      <c r="I111" s="89">
        <f t="shared" si="40"/>
        <v>-440.23999199999997</v>
      </c>
      <c r="J111" s="89"/>
      <c r="K111" s="89"/>
    </row>
    <row r="112" spans="1:12" hidden="1" x14ac:dyDescent="0.4">
      <c r="A112" s="93" t="s">
        <v>101</v>
      </c>
      <c r="B112" s="88">
        <v>54.68</v>
      </c>
      <c r="C112" s="88">
        <v>54.77</v>
      </c>
      <c r="D112" s="88">
        <v>48.650002000000001</v>
      </c>
      <c r="E112" s="88">
        <v>51.310001</v>
      </c>
      <c r="F112" s="89">
        <f t="shared" si="37"/>
        <v>-437.44</v>
      </c>
      <c r="G112" s="89">
        <f t="shared" si="38"/>
        <v>-438.16</v>
      </c>
      <c r="H112" s="89">
        <f t="shared" si="39"/>
        <v>-389.20001600000001</v>
      </c>
      <c r="I112" s="89">
        <f t="shared" si="40"/>
        <v>-410.480008</v>
      </c>
      <c r="J112" s="89"/>
      <c r="K112" s="89"/>
    </row>
    <row r="113" spans="1:12" hidden="1" x14ac:dyDescent="0.4">
      <c r="A113" s="93" t="s">
        <v>102</v>
      </c>
      <c r="B113" s="88">
        <v>51.09</v>
      </c>
      <c r="C113" s="88">
        <v>52.84</v>
      </c>
      <c r="D113" s="88">
        <v>49.18</v>
      </c>
      <c r="E113" s="88">
        <v>51.220001000000003</v>
      </c>
      <c r="F113" s="89">
        <f t="shared" si="37"/>
        <v>-408.72</v>
      </c>
      <c r="G113" s="89">
        <f t="shared" si="38"/>
        <v>-422.72</v>
      </c>
      <c r="H113" s="89">
        <f t="shared" si="39"/>
        <v>-393.44</v>
      </c>
      <c r="I113" s="89">
        <f t="shared" si="40"/>
        <v>-409.76000800000003</v>
      </c>
      <c r="J113" s="89"/>
      <c r="K113" s="89"/>
    </row>
    <row r="114" spans="1:12" hidden="1" x14ac:dyDescent="0.4">
      <c r="A114" s="93" t="s">
        <v>103</v>
      </c>
      <c r="B114" s="88">
        <v>51.27</v>
      </c>
      <c r="C114" s="88">
        <v>51.470001000000003</v>
      </c>
      <c r="D114" s="88">
        <v>41.610000999999997</v>
      </c>
      <c r="E114" s="88">
        <v>45.130001</v>
      </c>
      <c r="F114" s="89">
        <f t="shared" si="37"/>
        <v>-410.16</v>
      </c>
      <c r="G114" s="89">
        <f t="shared" si="38"/>
        <v>-411.76000800000003</v>
      </c>
      <c r="H114" s="89">
        <f t="shared" si="39"/>
        <v>-332.88000799999998</v>
      </c>
      <c r="I114" s="89">
        <f t="shared" si="40"/>
        <v>-361.040008</v>
      </c>
      <c r="J114" s="89"/>
      <c r="K114" s="89"/>
    </row>
    <row r="115" spans="1:12" hidden="1" x14ac:dyDescent="0.4">
      <c r="A115" s="93" t="s">
        <v>104</v>
      </c>
      <c r="B115" s="88">
        <v>45.5</v>
      </c>
      <c r="C115" s="88">
        <v>45.880001</v>
      </c>
      <c r="D115" s="88">
        <v>42.150002000000001</v>
      </c>
      <c r="E115" s="88">
        <v>42.950001</v>
      </c>
      <c r="F115" s="89">
        <f t="shared" si="37"/>
        <v>-364</v>
      </c>
      <c r="G115" s="89">
        <f t="shared" si="38"/>
        <v>-367.040008</v>
      </c>
      <c r="H115" s="89">
        <f t="shared" si="39"/>
        <v>-337.20001600000001</v>
      </c>
      <c r="I115" s="89">
        <f t="shared" si="40"/>
        <v>-343.600008</v>
      </c>
      <c r="J115" s="89"/>
      <c r="K115" s="89"/>
    </row>
    <row r="116" spans="1:12" hidden="1" x14ac:dyDescent="0.4">
      <c r="A116" s="93" t="s">
        <v>105</v>
      </c>
      <c r="B116" s="88">
        <v>42.919998</v>
      </c>
      <c r="C116" s="88">
        <v>45.07</v>
      </c>
      <c r="D116" s="88">
        <v>41.049999</v>
      </c>
      <c r="E116" s="88">
        <v>43.720001000000003</v>
      </c>
      <c r="F116" s="89">
        <f t="shared" si="37"/>
        <v>-343.359984</v>
      </c>
      <c r="G116" s="89">
        <f t="shared" si="38"/>
        <v>-360.56</v>
      </c>
      <c r="H116" s="89">
        <f t="shared" si="39"/>
        <v>-328.399992</v>
      </c>
      <c r="I116" s="89">
        <f t="shared" si="40"/>
        <v>-349.76000800000003</v>
      </c>
      <c r="J116" s="89"/>
      <c r="K116" s="89"/>
    </row>
    <row r="117" spans="1:12" hidden="1" x14ac:dyDescent="0.4">
      <c r="A117" s="93" t="s">
        <v>106</v>
      </c>
      <c r="B117" s="88">
        <v>44.419998</v>
      </c>
      <c r="C117" s="88">
        <v>48.060001</v>
      </c>
      <c r="D117" s="88">
        <v>43.68</v>
      </c>
      <c r="E117" s="88">
        <v>47.209999000000003</v>
      </c>
      <c r="F117" s="89">
        <f t="shared" si="37"/>
        <v>-355.359984</v>
      </c>
      <c r="G117" s="89">
        <f t="shared" si="38"/>
        <v>-384.480008</v>
      </c>
      <c r="H117" s="89">
        <f t="shared" si="39"/>
        <v>-349.44</v>
      </c>
      <c r="I117" s="89">
        <f t="shared" si="40"/>
        <v>-377.67999200000003</v>
      </c>
      <c r="J117" s="89"/>
      <c r="K117" s="89"/>
    </row>
    <row r="118" spans="1:12" hidden="1" x14ac:dyDescent="0.4">
      <c r="A118" s="93" t="s">
        <v>107</v>
      </c>
      <c r="B118" s="88">
        <v>47.23</v>
      </c>
      <c r="C118" s="88">
        <v>50.470001000000003</v>
      </c>
      <c r="D118" s="88">
        <v>47.220001000000003</v>
      </c>
      <c r="E118" s="88">
        <v>50.009998000000003</v>
      </c>
      <c r="F118" s="89">
        <f t="shared" si="37"/>
        <v>-377.84</v>
      </c>
      <c r="G118" s="89">
        <f t="shared" si="38"/>
        <v>-403.76000800000003</v>
      </c>
      <c r="H118" s="89">
        <f t="shared" si="39"/>
        <v>-377.76000800000003</v>
      </c>
      <c r="I118" s="89">
        <f t="shared" si="40"/>
        <v>-400.07998400000002</v>
      </c>
      <c r="J118" s="89"/>
      <c r="K118" s="89"/>
    </row>
    <row r="119" spans="1:12" hidden="1" x14ac:dyDescent="0.4">
      <c r="A119" s="93" t="s">
        <v>108</v>
      </c>
      <c r="B119" s="88">
        <v>49.919998</v>
      </c>
      <c r="C119" s="88">
        <v>50.610000999999997</v>
      </c>
      <c r="D119" s="88">
        <v>44.970001000000003</v>
      </c>
      <c r="E119" s="88">
        <v>45.169998</v>
      </c>
      <c r="F119" s="89">
        <f t="shared" si="37"/>
        <v>-399.359984</v>
      </c>
      <c r="G119" s="89">
        <f t="shared" si="38"/>
        <v>-404.88000799999998</v>
      </c>
      <c r="H119" s="89">
        <f t="shared" si="39"/>
        <v>-359.76000800000003</v>
      </c>
      <c r="I119" s="89">
        <f t="shared" si="40"/>
        <v>-361.359984</v>
      </c>
      <c r="J119" s="89">
        <f t="shared" ref="J119" si="47">-MAX(C119:C130)*12*J$1</f>
        <v>-4251.2400839999991</v>
      </c>
      <c r="K119" s="89">
        <f t="shared" ref="K119" si="48">-MIN(D119:D130)*12*K$1</f>
        <v>-3306.5998679999998</v>
      </c>
      <c r="L119" s="89">
        <f t="shared" ref="L119" si="49">L110</f>
        <v>0</v>
      </c>
    </row>
    <row r="120" spans="1:12" hidden="1" x14ac:dyDescent="0.4">
      <c r="A120" s="93" t="s">
        <v>109</v>
      </c>
      <c r="B120" s="88">
        <v>44.810001</v>
      </c>
      <c r="C120" s="88">
        <v>46.150002000000001</v>
      </c>
      <c r="D120" s="88">
        <v>43.299999</v>
      </c>
      <c r="E120" s="88">
        <v>45.459999000000003</v>
      </c>
      <c r="F120" s="89">
        <f t="shared" si="37"/>
        <v>-358.480008</v>
      </c>
      <c r="G120" s="89">
        <f t="shared" si="38"/>
        <v>-369.20001600000001</v>
      </c>
      <c r="H120" s="89">
        <f t="shared" si="39"/>
        <v>-346.399992</v>
      </c>
      <c r="I120" s="89">
        <f t="shared" si="40"/>
        <v>-363.67999200000003</v>
      </c>
      <c r="J120" s="89"/>
      <c r="K120" s="89"/>
    </row>
    <row r="121" spans="1:12" hidden="1" x14ac:dyDescent="0.4">
      <c r="A121" s="93" t="s">
        <v>110</v>
      </c>
      <c r="B121" s="88">
        <v>45.509998000000003</v>
      </c>
      <c r="C121" s="88">
        <v>48.57</v>
      </c>
      <c r="D121" s="88">
        <v>44.299999</v>
      </c>
      <c r="E121" s="88">
        <v>46.119999</v>
      </c>
      <c r="F121" s="89">
        <f t="shared" si="37"/>
        <v>-364.07998400000002</v>
      </c>
      <c r="G121" s="89">
        <f t="shared" si="38"/>
        <v>-388.56</v>
      </c>
      <c r="H121" s="89">
        <f t="shared" si="39"/>
        <v>-354.399992</v>
      </c>
      <c r="I121" s="89">
        <f t="shared" si="40"/>
        <v>-368.959992</v>
      </c>
      <c r="J121" s="89"/>
      <c r="K121" s="89"/>
    </row>
    <row r="122" spans="1:12" hidden="1" x14ac:dyDescent="0.4">
      <c r="A122" s="93" t="s">
        <v>111</v>
      </c>
      <c r="B122" s="88">
        <v>46.869999</v>
      </c>
      <c r="C122" s="88">
        <v>47.080002</v>
      </c>
      <c r="D122" s="88">
        <v>37.18</v>
      </c>
      <c r="E122" s="88">
        <v>38.909999999999997</v>
      </c>
      <c r="F122" s="89">
        <f t="shared" si="37"/>
        <v>-374.959992</v>
      </c>
      <c r="G122" s="89">
        <f t="shared" si="38"/>
        <v>-376.640016</v>
      </c>
      <c r="H122" s="89">
        <f t="shared" si="39"/>
        <v>-297.44</v>
      </c>
      <c r="I122" s="89">
        <f t="shared" si="40"/>
        <v>-311.27999999999997</v>
      </c>
      <c r="J122" s="89"/>
      <c r="K122" s="89"/>
    </row>
    <row r="123" spans="1:12" hidden="1" x14ac:dyDescent="0.4">
      <c r="A123" s="93" t="s">
        <v>112</v>
      </c>
      <c r="B123" s="88">
        <v>38.840000000000003</v>
      </c>
      <c r="C123" s="88">
        <v>38.970001000000003</v>
      </c>
      <c r="D123" s="88">
        <v>28.09</v>
      </c>
      <c r="E123" s="88">
        <v>32.889999000000003</v>
      </c>
      <c r="F123" s="89">
        <f t="shared" si="37"/>
        <v>-310.72000000000003</v>
      </c>
      <c r="G123" s="89">
        <f t="shared" si="38"/>
        <v>-311.76000800000003</v>
      </c>
      <c r="H123" s="89">
        <f t="shared" si="39"/>
        <v>-224.72</v>
      </c>
      <c r="I123" s="89">
        <f t="shared" si="40"/>
        <v>-263.11999200000002</v>
      </c>
      <c r="J123" s="89"/>
      <c r="K123" s="89"/>
    </row>
    <row r="124" spans="1:12" hidden="1" x14ac:dyDescent="0.4">
      <c r="A124" s="93" t="s">
        <v>113</v>
      </c>
      <c r="B124" s="88">
        <v>32.810001</v>
      </c>
      <c r="C124" s="88">
        <v>34.009998000000003</v>
      </c>
      <c r="D124" s="88">
        <v>25.049999</v>
      </c>
      <c r="E124" s="88">
        <v>29.120000999999998</v>
      </c>
      <c r="F124" s="89">
        <f t="shared" si="37"/>
        <v>-262.480008</v>
      </c>
      <c r="G124" s="89">
        <f t="shared" si="38"/>
        <v>-272.07998400000002</v>
      </c>
      <c r="H124" s="89">
        <f t="shared" si="39"/>
        <v>-200.399992</v>
      </c>
      <c r="I124" s="89">
        <f t="shared" si="40"/>
        <v>-232.96000799999999</v>
      </c>
      <c r="J124" s="89"/>
      <c r="K124" s="89"/>
    </row>
    <row r="125" spans="1:12" hidden="1" x14ac:dyDescent="0.4">
      <c r="A125" s="93" t="s">
        <v>114</v>
      </c>
      <c r="B125" s="88">
        <v>28.5</v>
      </c>
      <c r="C125" s="88">
        <v>30.83</v>
      </c>
      <c r="D125" s="88">
        <v>26.84</v>
      </c>
      <c r="E125" s="88">
        <v>29.74</v>
      </c>
      <c r="F125" s="89">
        <f t="shared" si="37"/>
        <v>-228</v>
      </c>
      <c r="G125" s="89">
        <f t="shared" si="38"/>
        <v>-246.64</v>
      </c>
      <c r="H125" s="89">
        <f t="shared" si="39"/>
        <v>-214.72</v>
      </c>
      <c r="I125" s="89">
        <f t="shared" si="40"/>
        <v>-237.92</v>
      </c>
      <c r="J125" s="89"/>
      <c r="K125" s="89"/>
    </row>
    <row r="126" spans="1:12" hidden="1" x14ac:dyDescent="0.4">
      <c r="A126" s="93" t="s">
        <v>115</v>
      </c>
      <c r="B126" s="88">
        <v>29.75</v>
      </c>
      <c r="C126" s="88">
        <v>31.629999000000002</v>
      </c>
      <c r="D126" s="88">
        <v>27.959999</v>
      </c>
      <c r="E126" s="88">
        <v>29.059999000000001</v>
      </c>
      <c r="F126" s="89">
        <f t="shared" si="37"/>
        <v>-238</v>
      </c>
      <c r="G126" s="89">
        <f t="shared" si="38"/>
        <v>-253.03999200000001</v>
      </c>
      <c r="H126" s="89">
        <f t="shared" si="39"/>
        <v>-223.679992</v>
      </c>
      <c r="I126" s="89">
        <f t="shared" si="40"/>
        <v>-232.47999200000001</v>
      </c>
      <c r="J126" s="89"/>
      <c r="K126" s="89"/>
    </row>
    <row r="127" spans="1:12" hidden="1" x14ac:dyDescent="0.4">
      <c r="A127" s="93" t="s">
        <v>116</v>
      </c>
      <c r="B127" s="88">
        <v>28.780000999999999</v>
      </c>
      <c r="C127" s="88">
        <v>31.68</v>
      </c>
      <c r="D127" s="88">
        <v>27.389999</v>
      </c>
      <c r="E127" s="88">
        <v>27.530000999999999</v>
      </c>
      <c r="F127" s="89">
        <f t="shared" si="37"/>
        <v>-230.24000799999999</v>
      </c>
      <c r="G127" s="89">
        <f t="shared" si="38"/>
        <v>-253.44</v>
      </c>
      <c r="H127" s="89">
        <f t="shared" si="39"/>
        <v>-219.119992</v>
      </c>
      <c r="I127" s="89">
        <f t="shared" si="40"/>
        <v>-220.24000799999999</v>
      </c>
      <c r="J127" s="89"/>
      <c r="K127" s="89"/>
    </row>
    <row r="128" spans="1:12" hidden="1" x14ac:dyDescent="0.4">
      <c r="A128" s="93" t="s">
        <v>117</v>
      </c>
      <c r="B128" s="88">
        <v>27.120000999999998</v>
      </c>
      <c r="C128" s="88">
        <v>31.459999</v>
      </c>
      <c r="D128" s="88">
        <v>25.629999000000002</v>
      </c>
      <c r="E128" s="88">
        <v>30.32</v>
      </c>
      <c r="F128" s="89">
        <f t="shared" si="37"/>
        <v>-216.96000799999999</v>
      </c>
      <c r="G128" s="89">
        <f t="shared" si="38"/>
        <v>-251.679992</v>
      </c>
      <c r="H128" s="89">
        <f t="shared" si="39"/>
        <v>-205.03999200000001</v>
      </c>
      <c r="I128" s="89">
        <f t="shared" si="40"/>
        <v>-242.56</v>
      </c>
      <c r="J128" s="89"/>
      <c r="K128" s="89"/>
    </row>
    <row r="129" spans="1:12" hidden="1" x14ac:dyDescent="0.4">
      <c r="A129" s="93" t="s">
        <v>118</v>
      </c>
      <c r="B129" s="88">
        <v>29.940000999999999</v>
      </c>
      <c r="C129" s="88">
        <v>34.900002000000001</v>
      </c>
      <c r="D129" s="88">
        <v>29.790001</v>
      </c>
      <c r="E129" s="88">
        <v>34.279998999999997</v>
      </c>
      <c r="F129" s="89">
        <f t="shared" si="37"/>
        <v>-239.52000799999999</v>
      </c>
      <c r="G129" s="89">
        <f t="shared" si="38"/>
        <v>-279.20001600000001</v>
      </c>
      <c r="H129" s="89">
        <f t="shared" si="39"/>
        <v>-238.320008</v>
      </c>
      <c r="I129" s="89">
        <f t="shared" si="40"/>
        <v>-274.23999199999997</v>
      </c>
      <c r="J129" s="89"/>
      <c r="K129" s="89"/>
    </row>
    <row r="130" spans="1:12" hidden="1" x14ac:dyDescent="0.4">
      <c r="A130" s="93" t="s">
        <v>119</v>
      </c>
      <c r="B130" s="88">
        <v>34.270000000000003</v>
      </c>
      <c r="C130" s="88">
        <v>35.5</v>
      </c>
      <c r="D130" s="88">
        <v>32.959999000000003</v>
      </c>
      <c r="E130" s="88">
        <v>35.380001</v>
      </c>
      <c r="F130" s="89">
        <f t="shared" si="37"/>
        <v>-274.16000000000003</v>
      </c>
      <c r="G130" s="89">
        <f t="shared" si="38"/>
        <v>-284</v>
      </c>
      <c r="H130" s="89">
        <f t="shared" si="39"/>
        <v>-263.67999200000003</v>
      </c>
      <c r="I130" s="89">
        <f t="shared" si="40"/>
        <v>-283.040008</v>
      </c>
      <c r="J130" s="89"/>
      <c r="K130" s="89"/>
    </row>
    <row r="131" spans="1:12" hidden="1" x14ac:dyDescent="0.4">
      <c r="A131" s="93" t="s">
        <v>120</v>
      </c>
      <c r="B131" s="88">
        <v>35.759998000000003</v>
      </c>
      <c r="C131" s="88">
        <v>37.229999999999997</v>
      </c>
      <c r="D131" s="88">
        <v>34.770000000000003</v>
      </c>
      <c r="E131" s="88">
        <v>36.380001</v>
      </c>
      <c r="F131" s="89">
        <f t="shared" si="37"/>
        <v>-286.07998400000002</v>
      </c>
      <c r="G131" s="89">
        <f t="shared" si="38"/>
        <v>-297.83999999999997</v>
      </c>
      <c r="H131" s="89">
        <f t="shared" si="39"/>
        <v>-278.16000000000003</v>
      </c>
      <c r="I131" s="89">
        <f t="shared" si="40"/>
        <v>-291.040008</v>
      </c>
      <c r="J131" s="89">
        <f t="shared" ref="J131" si="50">-MAX(C131:C142)*12*J$1</f>
        <v>-4254.6001679999999</v>
      </c>
      <c r="K131" s="89">
        <f t="shared" ref="K131" si="51">-MIN(D131:D142)*12*K$1</f>
        <v>-4527.5998680000002</v>
      </c>
      <c r="L131" s="89">
        <f t="shared" ref="L131" si="52">L122</f>
        <v>0</v>
      </c>
    </row>
    <row r="132" spans="1:12" hidden="1" x14ac:dyDescent="0.4">
      <c r="A132" s="93" t="s">
        <v>121</v>
      </c>
      <c r="B132" s="88">
        <v>36.560001</v>
      </c>
      <c r="C132" s="88">
        <v>40.18</v>
      </c>
      <c r="D132" s="88">
        <v>34.299999</v>
      </c>
      <c r="E132" s="88">
        <v>39.450001</v>
      </c>
      <c r="F132" s="89">
        <f t="shared" si="37"/>
        <v>-292.480008</v>
      </c>
      <c r="G132" s="89">
        <f t="shared" si="38"/>
        <v>-321.44</v>
      </c>
      <c r="H132" s="89">
        <f t="shared" si="39"/>
        <v>-274.399992</v>
      </c>
      <c r="I132" s="89">
        <f t="shared" si="40"/>
        <v>-315.600008</v>
      </c>
      <c r="J132" s="89"/>
      <c r="K132" s="89"/>
    </row>
    <row r="133" spans="1:12" hidden="1" x14ac:dyDescent="0.4">
      <c r="A133" s="93" t="s">
        <v>122</v>
      </c>
      <c r="B133" s="88">
        <v>39.869999</v>
      </c>
      <c r="C133" s="88">
        <v>41.080002</v>
      </c>
      <c r="D133" s="88">
        <v>38.459999000000003</v>
      </c>
      <c r="E133" s="88">
        <v>40.029998999999997</v>
      </c>
      <c r="F133" s="89">
        <f t="shared" si="37"/>
        <v>-318.959992</v>
      </c>
      <c r="G133" s="89">
        <f t="shared" si="38"/>
        <v>-328.640016</v>
      </c>
      <c r="H133" s="89">
        <f t="shared" si="39"/>
        <v>-307.67999200000003</v>
      </c>
      <c r="I133" s="89">
        <f t="shared" si="40"/>
        <v>-320.23999199999997</v>
      </c>
      <c r="J133" s="89"/>
      <c r="K133" s="89"/>
    </row>
    <row r="134" spans="1:12" hidden="1" x14ac:dyDescent="0.4">
      <c r="A134" s="93" t="s">
        <v>123</v>
      </c>
      <c r="B134" s="88">
        <v>39.889999000000003</v>
      </c>
      <c r="C134" s="88">
        <v>43.169998</v>
      </c>
      <c r="D134" s="88">
        <v>39.020000000000003</v>
      </c>
      <c r="E134" s="88">
        <v>42.25</v>
      </c>
      <c r="F134" s="89">
        <f t="shared" si="37"/>
        <v>-319.11999200000002</v>
      </c>
      <c r="G134" s="89">
        <f t="shared" si="38"/>
        <v>-345.359984</v>
      </c>
      <c r="H134" s="89">
        <f t="shared" si="39"/>
        <v>-312.16000000000003</v>
      </c>
      <c r="I134" s="89">
        <f t="shared" si="40"/>
        <v>-338</v>
      </c>
      <c r="J134" s="89"/>
      <c r="K134" s="89"/>
    </row>
    <row r="135" spans="1:12" hidden="1" x14ac:dyDescent="0.4">
      <c r="A135" s="93" t="s">
        <v>124</v>
      </c>
      <c r="B135" s="88">
        <v>42.099997999999999</v>
      </c>
      <c r="C135" s="88">
        <v>43.82</v>
      </c>
      <c r="D135" s="88">
        <v>40.720001000000003</v>
      </c>
      <c r="E135" s="88">
        <v>40.959999000000003</v>
      </c>
      <c r="F135" s="89">
        <f t="shared" si="37"/>
        <v>-336.79998399999999</v>
      </c>
      <c r="G135" s="89">
        <f t="shared" si="38"/>
        <v>-350.56</v>
      </c>
      <c r="H135" s="89">
        <f t="shared" si="39"/>
        <v>-325.76000800000003</v>
      </c>
      <c r="I135" s="89">
        <f t="shared" si="40"/>
        <v>-327.67999200000003</v>
      </c>
      <c r="J135" s="89"/>
      <c r="K135" s="89"/>
    </row>
    <row r="136" spans="1:12" hidden="1" x14ac:dyDescent="0.4">
      <c r="A136" s="93" t="s">
        <v>125</v>
      </c>
      <c r="B136" s="88">
        <v>41</v>
      </c>
      <c r="C136" s="88">
        <v>44.650002000000001</v>
      </c>
      <c r="D136" s="88">
        <v>40.639999000000003</v>
      </c>
      <c r="E136" s="88">
        <v>43.560001</v>
      </c>
      <c r="F136" s="89">
        <f t="shared" si="37"/>
        <v>-328</v>
      </c>
      <c r="G136" s="89">
        <f t="shared" si="38"/>
        <v>-357.20001600000001</v>
      </c>
      <c r="H136" s="89">
        <f t="shared" si="39"/>
        <v>-325.11999200000002</v>
      </c>
      <c r="I136" s="89">
        <f t="shared" si="40"/>
        <v>-348.480008</v>
      </c>
      <c r="J136" s="89"/>
      <c r="K136" s="89"/>
    </row>
    <row r="137" spans="1:12" hidden="1" x14ac:dyDescent="0.4">
      <c r="A137" s="93" t="s">
        <v>126</v>
      </c>
      <c r="B137" s="88">
        <v>43.889999000000003</v>
      </c>
      <c r="C137" s="88">
        <v>46.299999</v>
      </c>
      <c r="D137" s="88">
        <v>43.32</v>
      </c>
      <c r="E137" s="88">
        <v>45.75</v>
      </c>
      <c r="F137" s="89">
        <f t="shared" si="37"/>
        <v>-351.11999200000002</v>
      </c>
      <c r="G137" s="89">
        <f t="shared" si="38"/>
        <v>-370.399992</v>
      </c>
      <c r="H137" s="89">
        <f t="shared" si="39"/>
        <v>-346.56</v>
      </c>
      <c r="I137" s="89">
        <f t="shared" si="40"/>
        <v>-366</v>
      </c>
      <c r="J137" s="89"/>
      <c r="K137" s="89"/>
    </row>
    <row r="138" spans="1:12" hidden="1" x14ac:dyDescent="0.4">
      <c r="A138" s="93" t="s">
        <v>127</v>
      </c>
      <c r="B138" s="88">
        <v>46.330002</v>
      </c>
      <c r="C138" s="88">
        <v>46.639999000000003</v>
      </c>
      <c r="D138" s="88">
        <v>42.630001</v>
      </c>
      <c r="E138" s="88">
        <v>42.790000999999997</v>
      </c>
      <c r="F138" s="89">
        <f t="shared" si="37"/>
        <v>-370.640016</v>
      </c>
      <c r="G138" s="89">
        <f t="shared" si="38"/>
        <v>-373.11999200000002</v>
      </c>
      <c r="H138" s="89">
        <f t="shared" si="39"/>
        <v>-341.040008</v>
      </c>
      <c r="I138" s="89">
        <f t="shared" si="40"/>
        <v>-342.32000799999997</v>
      </c>
      <c r="J138" s="89"/>
      <c r="K138" s="89"/>
    </row>
    <row r="139" spans="1:12" hidden="1" x14ac:dyDescent="0.4">
      <c r="A139" s="93" t="s">
        <v>128</v>
      </c>
      <c r="B139" s="88">
        <v>42.900002000000001</v>
      </c>
      <c r="C139" s="88">
        <v>45.049999</v>
      </c>
      <c r="D139" s="88">
        <v>42.119999</v>
      </c>
      <c r="E139" s="88">
        <v>44.759998000000003</v>
      </c>
      <c r="F139" s="89">
        <f t="shared" si="37"/>
        <v>-343.20001600000001</v>
      </c>
      <c r="G139" s="89">
        <f t="shared" si="38"/>
        <v>-360.399992</v>
      </c>
      <c r="H139" s="89">
        <f t="shared" si="39"/>
        <v>-336.959992</v>
      </c>
      <c r="I139" s="89">
        <f t="shared" si="40"/>
        <v>-358.07998400000002</v>
      </c>
      <c r="J139" s="89"/>
      <c r="K139" s="89"/>
    </row>
    <row r="140" spans="1:12" hidden="1" x14ac:dyDescent="0.4">
      <c r="A140" s="93" t="s">
        <v>129</v>
      </c>
      <c r="B140" s="88">
        <v>44.959999000000003</v>
      </c>
      <c r="C140" s="88">
        <v>48.599997999999999</v>
      </c>
      <c r="D140" s="88">
        <v>44.950001</v>
      </c>
      <c r="E140" s="88">
        <v>48.16</v>
      </c>
      <c r="F140" s="89">
        <f t="shared" si="37"/>
        <v>-359.67999200000003</v>
      </c>
      <c r="G140" s="89">
        <f t="shared" si="38"/>
        <v>-388.79998399999999</v>
      </c>
      <c r="H140" s="89">
        <f t="shared" si="39"/>
        <v>-359.600008</v>
      </c>
      <c r="I140" s="89">
        <f t="shared" si="40"/>
        <v>-385.28</v>
      </c>
      <c r="J140" s="89"/>
      <c r="K140" s="89"/>
    </row>
    <row r="141" spans="1:12" hidden="1" x14ac:dyDescent="0.4">
      <c r="A141" s="93" t="s">
        <v>130</v>
      </c>
      <c r="B141" s="88">
        <v>48.360000999999997</v>
      </c>
      <c r="C141" s="88">
        <v>50.650002000000001</v>
      </c>
      <c r="D141" s="88">
        <v>47.790000999999997</v>
      </c>
      <c r="E141" s="88">
        <v>49.240001999999997</v>
      </c>
      <c r="F141" s="89">
        <f t="shared" si="37"/>
        <v>-386.88000799999998</v>
      </c>
      <c r="G141" s="89">
        <f t="shared" si="38"/>
        <v>-405.20001600000001</v>
      </c>
      <c r="H141" s="89">
        <f t="shared" si="39"/>
        <v>-382.32000799999997</v>
      </c>
      <c r="I141" s="89">
        <f t="shared" si="40"/>
        <v>-393.92001599999998</v>
      </c>
      <c r="J141" s="89"/>
      <c r="K141" s="89"/>
    </row>
    <row r="142" spans="1:12" hidden="1" x14ac:dyDescent="0.4">
      <c r="A142" s="93" t="s">
        <v>131</v>
      </c>
      <c r="B142" s="88">
        <v>49.450001</v>
      </c>
      <c r="C142" s="88">
        <v>50.169998</v>
      </c>
      <c r="D142" s="88">
        <v>42.639999000000003</v>
      </c>
      <c r="E142" s="88">
        <v>45.599997999999999</v>
      </c>
      <c r="F142" s="89">
        <f t="shared" si="37"/>
        <v>-395.600008</v>
      </c>
      <c r="G142" s="89">
        <f t="shared" si="38"/>
        <v>-401.359984</v>
      </c>
      <c r="H142" s="89">
        <f t="shared" si="39"/>
        <v>-341.11999200000002</v>
      </c>
      <c r="I142" s="89">
        <f t="shared" si="40"/>
        <v>-364.79998399999999</v>
      </c>
      <c r="J142" s="89"/>
      <c r="K142" s="89"/>
    </row>
    <row r="143" spans="1:12" hidden="1" x14ac:dyDescent="0.4">
      <c r="A143" s="93" t="s">
        <v>132</v>
      </c>
      <c r="B143" s="88">
        <v>45.43</v>
      </c>
      <c r="C143" s="88">
        <v>47.68</v>
      </c>
      <c r="D143" s="88">
        <v>42.639999000000003</v>
      </c>
      <c r="E143" s="88">
        <v>42.709999000000003</v>
      </c>
      <c r="F143" s="89">
        <f t="shared" si="37"/>
        <v>-363.44</v>
      </c>
      <c r="G143" s="89">
        <f t="shared" si="38"/>
        <v>-381.44</v>
      </c>
      <c r="H143" s="89">
        <f t="shared" si="39"/>
        <v>-341.11999200000002</v>
      </c>
      <c r="I143" s="89">
        <f t="shared" si="40"/>
        <v>-341.67999200000003</v>
      </c>
      <c r="J143" s="89">
        <f t="shared" ref="J143" si="53">-MAX(C143:C154)*12*J$1</f>
        <v>-4984.5600000000004</v>
      </c>
      <c r="K143" s="89">
        <f t="shared" ref="K143" si="54">-MIN(D143:D154)*12*K$1</f>
        <v>-5513.64</v>
      </c>
      <c r="L143" s="89">
        <f t="shared" ref="L143" si="55">L134</f>
        <v>0</v>
      </c>
    </row>
    <row r="144" spans="1:12" hidden="1" x14ac:dyDescent="0.4">
      <c r="A144" s="93" t="s">
        <v>133</v>
      </c>
      <c r="B144" s="88">
        <v>42.84</v>
      </c>
      <c r="C144" s="88">
        <v>46.720001000000003</v>
      </c>
      <c r="D144" s="88">
        <v>41.77</v>
      </c>
      <c r="E144" s="88">
        <v>45.810001</v>
      </c>
      <c r="F144" s="89">
        <f t="shared" si="37"/>
        <v>-342.72</v>
      </c>
      <c r="G144" s="89">
        <f t="shared" si="38"/>
        <v>-373.76000800000003</v>
      </c>
      <c r="H144" s="89">
        <f t="shared" si="39"/>
        <v>-334.16</v>
      </c>
      <c r="I144" s="89">
        <f t="shared" si="40"/>
        <v>-366.480008</v>
      </c>
      <c r="J144" s="89"/>
      <c r="K144" s="89"/>
    </row>
    <row r="145" spans="1:12" hidden="1" x14ac:dyDescent="0.4">
      <c r="A145" s="93" t="s">
        <v>134</v>
      </c>
      <c r="B145" s="88">
        <v>46.389999000000003</v>
      </c>
      <c r="C145" s="88">
        <v>47.189999</v>
      </c>
      <c r="D145" s="88">
        <v>42.970001000000003</v>
      </c>
      <c r="E145" s="88">
        <v>43.459999000000003</v>
      </c>
      <c r="F145" s="89">
        <f t="shared" si="37"/>
        <v>-371.11999200000002</v>
      </c>
      <c r="G145" s="89">
        <f t="shared" si="38"/>
        <v>-377.519992</v>
      </c>
      <c r="H145" s="89">
        <f t="shared" si="39"/>
        <v>-343.76000800000003</v>
      </c>
      <c r="I145" s="89">
        <f t="shared" si="40"/>
        <v>-347.67999200000003</v>
      </c>
      <c r="J145" s="89"/>
      <c r="K145" s="89"/>
    </row>
    <row r="146" spans="1:12" hidden="1" x14ac:dyDescent="0.4">
      <c r="A146" s="93" t="s">
        <v>135</v>
      </c>
      <c r="B146" s="88">
        <v>44.099997999999999</v>
      </c>
      <c r="C146" s="88">
        <v>49.84</v>
      </c>
      <c r="D146" s="88">
        <v>44.07</v>
      </c>
      <c r="E146" s="88">
        <v>49.07</v>
      </c>
      <c r="F146" s="89">
        <f t="shared" si="37"/>
        <v>-352.79998399999999</v>
      </c>
      <c r="G146" s="89">
        <f t="shared" si="38"/>
        <v>-398.72</v>
      </c>
      <c r="H146" s="89">
        <f t="shared" si="39"/>
        <v>-352.56</v>
      </c>
      <c r="I146" s="89">
        <f t="shared" si="40"/>
        <v>-392.56</v>
      </c>
      <c r="J146" s="89"/>
      <c r="K146" s="89"/>
    </row>
    <row r="147" spans="1:12" hidden="1" x14ac:dyDescent="0.4">
      <c r="A147" s="93" t="s">
        <v>136</v>
      </c>
      <c r="B147" s="88">
        <v>49.48</v>
      </c>
      <c r="C147" s="88">
        <v>52.490001999999997</v>
      </c>
      <c r="D147" s="88">
        <v>48.200001</v>
      </c>
      <c r="E147" s="88">
        <v>52.18</v>
      </c>
      <c r="F147" s="89">
        <f t="shared" si="37"/>
        <v>-395.84</v>
      </c>
      <c r="G147" s="89">
        <f t="shared" si="38"/>
        <v>-419.92001599999998</v>
      </c>
      <c r="H147" s="89">
        <f t="shared" si="39"/>
        <v>-385.600008</v>
      </c>
      <c r="I147" s="89">
        <f t="shared" si="40"/>
        <v>-417.44</v>
      </c>
      <c r="J147" s="89"/>
      <c r="K147" s="89"/>
    </row>
    <row r="148" spans="1:12" hidden="1" x14ac:dyDescent="0.4">
      <c r="A148" s="93" t="s">
        <v>137</v>
      </c>
      <c r="B148" s="88">
        <v>52.369999</v>
      </c>
      <c r="C148" s="88">
        <v>54.040000999999997</v>
      </c>
      <c r="D148" s="88">
        <v>50.849997999999999</v>
      </c>
      <c r="E148" s="88">
        <v>52.09</v>
      </c>
      <c r="F148" s="89">
        <f t="shared" si="37"/>
        <v>-418.959992</v>
      </c>
      <c r="G148" s="89">
        <f t="shared" si="38"/>
        <v>-432.32000799999997</v>
      </c>
      <c r="H148" s="89">
        <f t="shared" si="39"/>
        <v>-406.79998399999999</v>
      </c>
      <c r="I148" s="89">
        <f t="shared" si="40"/>
        <v>-416.72</v>
      </c>
      <c r="J148" s="89"/>
      <c r="K148" s="89"/>
    </row>
    <row r="149" spans="1:12" hidden="1" x14ac:dyDescent="0.4">
      <c r="A149" s="93" t="s">
        <v>138</v>
      </c>
      <c r="B149" s="88">
        <v>52.860000999999997</v>
      </c>
      <c r="C149" s="88">
        <v>54.959999000000003</v>
      </c>
      <c r="D149" s="88">
        <v>52.84</v>
      </c>
      <c r="E149" s="88">
        <v>54.459999000000003</v>
      </c>
      <c r="F149" s="89">
        <f t="shared" si="37"/>
        <v>-422.88000799999998</v>
      </c>
      <c r="G149" s="89">
        <f t="shared" si="38"/>
        <v>-439.67999200000003</v>
      </c>
      <c r="H149" s="89">
        <f t="shared" si="39"/>
        <v>-422.72</v>
      </c>
      <c r="I149" s="89">
        <f t="shared" si="40"/>
        <v>-435.67999200000003</v>
      </c>
      <c r="J149" s="89"/>
      <c r="K149" s="89"/>
    </row>
    <row r="150" spans="1:12" hidden="1" x14ac:dyDescent="0.4">
      <c r="A150" s="93" t="s">
        <v>139</v>
      </c>
      <c r="B150" s="88">
        <v>54.970001000000003</v>
      </c>
      <c r="C150" s="88">
        <v>57.349997999999999</v>
      </c>
      <c r="D150" s="88">
        <v>54.919998</v>
      </c>
      <c r="E150" s="88">
        <v>56</v>
      </c>
      <c r="F150" s="89">
        <f t="shared" si="37"/>
        <v>-439.76000800000003</v>
      </c>
      <c r="G150" s="89">
        <f t="shared" si="38"/>
        <v>-458.79998399999999</v>
      </c>
      <c r="H150" s="89">
        <f t="shared" si="39"/>
        <v>-439.359984</v>
      </c>
      <c r="I150" s="89">
        <f t="shared" si="40"/>
        <v>-448</v>
      </c>
      <c r="J150" s="89"/>
      <c r="K150" s="89"/>
    </row>
    <row r="151" spans="1:12" hidden="1" x14ac:dyDescent="0.4">
      <c r="A151" s="93" t="s">
        <v>140</v>
      </c>
      <c r="B151" s="88">
        <v>56.419998</v>
      </c>
      <c r="C151" s="88">
        <v>59.040000999999997</v>
      </c>
      <c r="D151" s="88">
        <v>56.130001</v>
      </c>
      <c r="E151" s="88">
        <v>57.77</v>
      </c>
      <c r="F151" s="89">
        <f t="shared" si="37"/>
        <v>-451.359984</v>
      </c>
      <c r="G151" s="89">
        <f t="shared" si="38"/>
        <v>-472.32000799999997</v>
      </c>
      <c r="H151" s="89">
        <f t="shared" si="39"/>
        <v>-449.040008</v>
      </c>
      <c r="I151" s="89">
        <f t="shared" si="40"/>
        <v>-462.16</v>
      </c>
      <c r="J151" s="89"/>
      <c r="K151" s="89"/>
    </row>
    <row r="152" spans="1:12" hidden="1" x14ac:dyDescent="0.4">
      <c r="A152" s="93" t="s">
        <v>141</v>
      </c>
      <c r="B152" s="88">
        <v>58.02</v>
      </c>
      <c r="C152" s="88">
        <v>58.369999</v>
      </c>
      <c r="D152" s="88">
        <v>53.77</v>
      </c>
      <c r="E152" s="88">
        <v>57.43</v>
      </c>
      <c r="F152" s="89">
        <f t="shared" ref="F152:F215" si="56">-B152*F$1</f>
        <v>-464.16</v>
      </c>
      <c r="G152" s="89">
        <f t="shared" ref="G152:G215" si="57">-C152*G$1</f>
        <v>-466.959992</v>
      </c>
      <c r="H152" s="89">
        <f t="shared" ref="H152:H215" si="58">-D152*H$1</f>
        <v>-430.16</v>
      </c>
      <c r="I152" s="89">
        <f t="shared" ref="I152:I215" si="59">-E152*I$1</f>
        <v>-459.44</v>
      </c>
      <c r="J152" s="89"/>
      <c r="K152" s="89"/>
    </row>
    <row r="153" spans="1:12" hidden="1" x14ac:dyDescent="0.4">
      <c r="A153" s="93" t="s">
        <v>142</v>
      </c>
      <c r="B153" s="88">
        <v>57.720001000000003</v>
      </c>
      <c r="C153" s="88">
        <v>59.290000999999997</v>
      </c>
      <c r="D153" s="88">
        <v>55.32</v>
      </c>
      <c r="E153" s="88">
        <v>59.080002</v>
      </c>
      <c r="F153" s="89">
        <f t="shared" si="56"/>
        <v>-461.76000800000003</v>
      </c>
      <c r="G153" s="89">
        <f t="shared" si="57"/>
        <v>-474.32000799999997</v>
      </c>
      <c r="H153" s="89">
        <f t="shared" si="58"/>
        <v>-442.56</v>
      </c>
      <c r="I153" s="89">
        <f t="shared" si="59"/>
        <v>-472.640016</v>
      </c>
      <c r="J153" s="89"/>
      <c r="K153" s="89"/>
    </row>
    <row r="154" spans="1:12" hidden="1" x14ac:dyDescent="0.4">
      <c r="A154" s="93" t="s">
        <v>143</v>
      </c>
      <c r="B154" s="88">
        <v>59.169998</v>
      </c>
      <c r="C154" s="88">
        <v>59.34</v>
      </c>
      <c r="D154" s="88">
        <v>56.470001000000003</v>
      </c>
      <c r="E154" s="88">
        <v>58.360000999999997</v>
      </c>
      <c r="F154" s="89">
        <f t="shared" si="56"/>
        <v>-473.359984</v>
      </c>
      <c r="G154" s="89">
        <f t="shared" si="57"/>
        <v>-474.72</v>
      </c>
      <c r="H154" s="89">
        <f t="shared" si="58"/>
        <v>-451.76000800000003</v>
      </c>
      <c r="I154" s="89">
        <f t="shared" si="59"/>
        <v>-466.88000799999998</v>
      </c>
      <c r="J154" s="89"/>
      <c r="K154" s="89"/>
    </row>
    <row r="155" spans="1:12" hidden="1" x14ac:dyDescent="0.4">
      <c r="A155" s="93" t="s">
        <v>144</v>
      </c>
      <c r="B155" s="88">
        <v>58.220001000000003</v>
      </c>
      <c r="C155" s="88">
        <v>58.360000999999997</v>
      </c>
      <c r="D155" s="88">
        <v>53.619999</v>
      </c>
      <c r="E155" s="88">
        <v>57.049999</v>
      </c>
      <c r="F155" s="89">
        <f t="shared" si="56"/>
        <v>-465.76000800000003</v>
      </c>
      <c r="G155" s="89">
        <f t="shared" si="57"/>
        <v>-466.88000799999998</v>
      </c>
      <c r="H155" s="89">
        <f t="shared" si="58"/>
        <v>-428.959992</v>
      </c>
      <c r="I155" s="89">
        <f t="shared" si="59"/>
        <v>-456.399992</v>
      </c>
      <c r="J155" s="89">
        <f t="shared" ref="J155" si="60">-MAX(C155:C166)*12*J$1</f>
        <v>-5758.2002520000005</v>
      </c>
      <c r="K155" s="89">
        <f t="shared" ref="K155" si="61">-MIN(D155:D166)*12*K$1</f>
        <v>-6590.7599999999993</v>
      </c>
      <c r="L155" s="89">
        <f t="shared" ref="L155" si="62">L146</f>
        <v>0</v>
      </c>
    </row>
    <row r="156" spans="1:12" hidden="1" x14ac:dyDescent="0.4">
      <c r="A156" s="93" t="s">
        <v>145</v>
      </c>
      <c r="B156" s="88">
        <v>57.080002</v>
      </c>
      <c r="C156" s="88">
        <v>59.830002</v>
      </c>
      <c r="D156" s="88">
        <v>56.869999</v>
      </c>
      <c r="E156" s="88">
        <v>58</v>
      </c>
      <c r="F156" s="89">
        <f t="shared" si="56"/>
        <v>-456.640016</v>
      </c>
      <c r="G156" s="89">
        <f t="shared" si="57"/>
        <v>-478.640016</v>
      </c>
      <c r="H156" s="89">
        <f t="shared" si="58"/>
        <v>-454.959992</v>
      </c>
      <c r="I156" s="89">
        <f t="shared" si="59"/>
        <v>-464</v>
      </c>
      <c r="J156" s="89"/>
      <c r="K156" s="89"/>
    </row>
    <row r="157" spans="1:12" hidden="1" x14ac:dyDescent="0.4">
      <c r="A157" s="93" t="s">
        <v>146</v>
      </c>
      <c r="B157" s="88">
        <v>58.700001</v>
      </c>
      <c r="C157" s="88">
        <v>58.82</v>
      </c>
      <c r="D157" s="88">
        <v>49.93</v>
      </c>
      <c r="E157" s="88">
        <v>55.060001</v>
      </c>
      <c r="F157" s="89">
        <f t="shared" si="56"/>
        <v>-469.600008</v>
      </c>
      <c r="G157" s="89">
        <f t="shared" si="57"/>
        <v>-470.56</v>
      </c>
      <c r="H157" s="89">
        <f t="shared" si="58"/>
        <v>-399.44</v>
      </c>
      <c r="I157" s="89">
        <f t="shared" si="59"/>
        <v>-440.480008</v>
      </c>
      <c r="J157" s="89"/>
      <c r="K157" s="89"/>
    </row>
    <row r="158" spans="1:12" hidden="1" x14ac:dyDescent="0.4">
      <c r="A158" s="93" t="s">
        <v>147</v>
      </c>
      <c r="B158" s="88">
        <v>55.200001</v>
      </c>
      <c r="C158" s="88">
        <v>57.349997999999999</v>
      </c>
      <c r="D158" s="88">
        <v>51.91</v>
      </c>
      <c r="E158" s="88">
        <v>52.490001999999997</v>
      </c>
      <c r="F158" s="89">
        <f t="shared" si="56"/>
        <v>-441.600008</v>
      </c>
      <c r="G158" s="89">
        <f t="shared" si="57"/>
        <v>-458.79998399999999</v>
      </c>
      <c r="H158" s="89">
        <f t="shared" si="58"/>
        <v>-415.28</v>
      </c>
      <c r="I158" s="89">
        <f t="shared" si="59"/>
        <v>-419.92001599999998</v>
      </c>
      <c r="J158" s="89"/>
      <c r="K158" s="89"/>
    </row>
    <row r="159" spans="1:12" hidden="1" x14ac:dyDescent="0.4">
      <c r="A159" s="93" t="s">
        <v>148</v>
      </c>
      <c r="B159" s="88">
        <v>52.02</v>
      </c>
      <c r="C159" s="88">
        <v>59.200001</v>
      </c>
      <c r="D159" s="88">
        <v>50.099997999999999</v>
      </c>
      <c r="E159" s="88">
        <v>57.950001</v>
      </c>
      <c r="F159" s="89">
        <f t="shared" si="56"/>
        <v>-416.16</v>
      </c>
      <c r="G159" s="89">
        <f t="shared" si="57"/>
        <v>-473.600008</v>
      </c>
      <c r="H159" s="89">
        <f t="shared" si="58"/>
        <v>-400.79998399999999</v>
      </c>
      <c r="I159" s="89">
        <f t="shared" si="59"/>
        <v>-463.600008</v>
      </c>
      <c r="J159" s="89"/>
      <c r="K159" s="89"/>
    </row>
    <row r="160" spans="1:12" hidden="1" x14ac:dyDescent="0.4">
      <c r="A160" s="93" t="s">
        <v>149</v>
      </c>
      <c r="B160" s="88">
        <v>56.52</v>
      </c>
      <c r="C160" s="88">
        <v>58.98</v>
      </c>
      <c r="D160" s="88">
        <v>52.869999</v>
      </c>
      <c r="E160" s="88">
        <v>56.389999000000003</v>
      </c>
      <c r="F160" s="89">
        <f t="shared" si="56"/>
        <v>-452.16</v>
      </c>
      <c r="G160" s="89">
        <f t="shared" si="57"/>
        <v>-471.84</v>
      </c>
      <c r="H160" s="89">
        <f t="shared" si="58"/>
        <v>-422.959992</v>
      </c>
      <c r="I160" s="89">
        <f t="shared" si="59"/>
        <v>-451.11999200000002</v>
      </c>
      <c r="J160" s="89"/>
      <c r="K160" s="89"/>
    </row>
    <row r="161" spans="1:12" hidden="1" x14ac:dyDescent="0.4">
      <c r="A161" s="93" t="s">
        <v>150</v>
      </c>
      <c r="B161" s="88">
        <v>56.380001</v>
      </c>
      <c r="C161" s="88">
        <v>57.619999</v>
      </c>
      <c r="D161" s="88">
        <v>54.169998</v>
      </c>
      <c r="E161" s="88">
        <v>55.830002</v>
      </c>
      <c r="F161" s="89">
        <f t="shared" si="56"/>
        <v>-451.040008</v>
      </c>
      <c r="G161" s="89">
        <f t="shared" si="57"/>
        <v>-460.959992</v>
      </c>
      <c r="H161" s="89">
        <f t="shared" si="58"/>
        <v>-433.359984</v>
      </c>
      <c r="I161" s="89">
        <f t="shared" si="59"/>
        <v>-446.640016</v>
      </c>
      <c r="J161" s="89"/>
      <c r="K161" s="89"/>
    </row>
    <row r="162" spans="1:12" hidden="1" x14ac:dyDescent="0.4">
      <c r="A162" s="93" t="s">
        <v>151</v>
      </c>
      <c r="B162" s="88">
        <v>56.91</v>
      </c>
      <c r="C162" s="88">
        <v>60.860000999999997</v>
      </c>
      <c r="D162" s="88">
        <v>56.560001</v>
      </c>
      <c r="E162" s="88">
        <v>60.529998999999997</v>
      </c>
      <c r="F162" s="89">
        <f t="shared" si="56"/>
        <v>-455.28</v>
      </c>
      <c r="G162" s="89">
        <f t="shared" si="57"/>
        <v>-486.88000799999998</v>
      </c>
      <c r="H162" s="89">
        <f t="shared" si="58"/>
        <v>-452.480008</v>
      </c>
      <c r="I162" s="89">
        <f t="shared" si="59"/>
        <v>-484.23999199999997</v>
      </c>
      <c r="J162" s="89"/>
      <c r="K162" s="89"/>
    </row>
    <row r="163" spans="1:12" hidden="1" x14ac:dyDescent="0.4">
      <c r="A163" s="93" t="s">
        <v>152</v>
      </c>
      <c r="B163" s="88">
        <v>60.880001</v>
      </c>
      <c r="C163" s="88">
        <v>64.959998999999996</v>
      </c>
      <c r="D163" s="88">
        <v>60.66</v>
      </c>
      <c r="E163" s="88">
        <v>64.410004000000001</v>
      </c>
      <c r="F163" s="89">
        <f t="shared" si="56"/>
        <v>-487.040008</v>
      </c>
      <c r="G163" s="89">
        <f t="shared" si="57"/>
        <v>-519.67999199999997</v>
      </c>
      <c r="H163" s="89">
        <f t="shared" si="58"/>
        <v>-485.28</v>
      </c>
      <c r="I163" s="89">
        <f t="shared" si="59"/>
        <v>-515.28003200000001</v>
      </c>
      <c r="J163" s="89"/>
      <c r="K163" s="89"/>
    </row>
    <row r="164" spans="1:12" hidden="1" x14ac:dyDescent="0.4">
      <c r="A164" s="93" t="s">
        <v>153</v>
      </c>
      <c r="B164" s="88">
        <v>64.650002000000001</v>
      </c>
      <c r="C164" s="88">
        <v>68.510002</v>
      </c>
      <c r="D164" s="88">
        <v>63.23</v>
      </c>
      <c r="E164" s="88">
        <v>67.550003000000004</v>
      </c>
      <c r="F164" s="89">
        <f t="shared" si="56"/>
        <v>-517.20001600000001</v>
      </c>
      <c r="G164" s="89">
        <f t="shared" si="57"/>
        <v>-548.080016</v>
      </c>
      <c r="H164" s="89">
        <f t="shared" si="58"/>
        <v>-505.84</v>
      </c>
      <c r="I164" s="89">
        <f t="shared" si="59"/>
        <v>-540.40002400000003</v>
      </c>
      <c r="J164" s="89"/>
      <c r="K164" s="89"/>
    </row>
    <row r="165" spans="1:12" hidden="1" x14ac:dyDescent="0.4">
      <c r="A165" s="93" t="s">
        <v>154</v>
      </c>
      <c r="B165" s="88">
        <v>67.480002999999996</v>
      </c>
      <c r="C165" s="88">
        <v>68.550003000000004</v>
      </c>
      <c r="D165" s="88">
        <v>64.449996999999996</v>
      </c>
      <c r="E165" s="88">
        <v>66.760002</v>
      </c>
      <c r="F165" s="89">
        <f t="shared" si="56"/>
        <v>-539.84002399999997</v>
      </c>
      <c r="G165" s="89">
        <f t="shared" si="57"/>
        <v>-548.40002400000003</v>
      </c>
      <c r="H165" s="89">
        <f t="shared" si="58"/>
        <v>-515.59997599999997</v>
      </c>
      <c r="I165" s="89">
        <f t="shared" si="59"/>
        <v>-534.080016</v>
      </c>
      <c r="J165" s="89"/>
      <c r="K165" s="89"/>
    </row>
    <row r="166" spans="1:12" hidden="1" x14ac:dyDescent="0.4">
      <c r="A166" s="93" t="s">
        <v>155</v>
      </c>
      <c r="B166" s="88">
        <v>66.690002000000007</v>
      </c>
      <c r="C166" s="88">
        <v>67.629997000000003</v>
      </c>
      <c r="D166" s="88">
        <v>60.759998000000003</v>
      </c>
      <c r="E166" s="88">
        <v>62.060001</v>
      </c>
      <c r="F166" s="89">
        <f t="shared" si="56"/>
        <v>-533.52001600000006</v>
      </c>
      <c r="G166" s="89">
        <f t="shared" si="57"/>
        <v>-541.03997600000002</v>
      </c>
      <c r="H166" s="89">
        <f t="shared" si="58"/>
        <v>-486.07998400000002</v>
      </c>
      <c r="I166" s="89">
        <f t="shared" si="59"/>
        <v>-496.480008</v>
      </c>
      <c r="J166" s="89"/>
      <c r="K166" s="89"/>
    </row>
    <row r="167" spans="1:12" hidden="1" x14ac:dyDescent="0.4">
      <c r="A167" s="93" t="s">
        <v>156</v>
      </c>
      <c r="B167" s="88">
        <v>60.939999</v>
      </c>
      <c r="C167" s="88">
        <v>64.569999999999993</v>
      </c>
      <c r="D167" s="88">
        <v>60.040000999999997</v>
      </c>
      <c r="E167" s="88">
        <v>64.160004000000001</v>
      </c>
      <c r="F167" s="89">
        <f t="shared" si="56"/>
        <v>-487.519992</v>
      </c>
      <c r="G167" s="89">
        <f t="shared" si="57"/>
        <v>-516.55999999999995</v>
      </c>
      <c r="H167" s="89">
        <f t="shared" si="58"/>
        <v>-480.32000799999997</v>
      </c>
      <c r="I167" s="89">
        <f t="shared" si="59"/>
        <v>-513.28003200000001</v>
      </c>
      <c r="J167" s="89">
        <f t="shared" ref="J167" si="63">-MAX(C167:C178)*12*J$1</f>
        <v>-6295.7997479999995</v>
      </c>
      <c r="K167" s="89">
        <f t="shared" ref="K167" si="64">-MIN(D167:D178)*12*K$1</f>
        <v>-7925.2801319999999</v>
      </c>
      <c r="L167" s="89">
        <f t="shared" ref="L167" si="65">L158</f>
        <v>0</v>
      </c>
    </row>
    <row r="168" spans="1:12" hidden="1" x14ac:dyDescent="0.4">
      <c r="A168" s="93" t="s">
        <v>157</v>
      </c>
      <c r="B168" s="88">
        <v>64.25</v>
      </c>
      <c r="C168" s="88">
        <v>65.309997999999993</v>
      </c>
      <c r="D168" s="88">
        <v>61.860000999999997</v>
      </c>
      <c r="E168" s="88">
        <v>64.800003000000004</v>
      </c>
      <c r="F168" s="89">
        <f t="shared" si="56"/>
        <v>-514</v>
      </c>
      <c r="G168" s="89">
        <f t="shared" si="57"/>
        <v>-522.47998399999994</v>
      </c>
      <c r="H168" s="89">
        <f t="shared" si="58"/>
        <v>-494.88000799999998</v>
      </c>
      <c r="I168" s="89">
        <f t="shared" si="59"/>
        <v>-518.40002400000003</v>
      </c>
      <c r="J168" s="89"/>
      <c r="K168" s="89"/>
    </row>
    <row r="169" spans="1:12" hidden="1" x14ac:dyDescent="0.4">
      <c r="A169" s="93" t="s">
        <v>158</v>
      </c>
      <c r="B169" s="88">
        <v>65.260002</v>
      </c>
      <c r="C169" s="88">
        <v>68.879997000000003</v>
      </c>
      <c r="D169" s="88">
        <v>63.91</v>
      </c>
      <c r="E169" s="88">
        <v>68.160004000000001</v>
      </c>
      <c r="F169" s="89">
        <f t="shared" si="56"/>
        <v>-522.080016</v>
      </c>
      <c r="G169" s="89">
        <f t="shared" si="57"/>
        <v>-551.03997600000002</v>
      </c>
      <c r="H169" s="89">
        <f t="shared" si="58"/>
        <v>-511.28</v>
      </c>
      <c r="I169" s="89">
        <f t="shared" si="59"/>
        <v>-545.28003200000001</v>
      </c>
      <c r="J169" s="89"/>
      <c r="K169" s="89"/>
    </row>
    <row r="170" spans="1:12" hidden="1" x14ac:dyDescent="0.4">
      <c r="A170" s="93" t="s">
        <v>159</v>
      </c>
      <c r="B170" s="88">
        <v>68.029999000000004</v>
      </c>
      <c r="C170" s="88">
        <v>70.580001999999993</v>
      </c>
      <c r="D170" s="88">
        <v>67.419998000000007</v>
      </c>
      <c r="E170" s="88">
        <v>68.569999999999993</v>
      </c>
      <c r="F170" s="89">
        <f t="shared" si="56"/>
        <v>-544.23999200000003</v>
      </c>
      <c r="G170" s="89">
        <f t="shared" si="57"/>
        <v>-564.64001599999995</v>
      </c>
      <c r="H170" s="89">
        <f t="shared" si="58"/>
        <v>-539.35998400000005</v>
      </c>
      <c r="I170" s="89">
        <f t="shared" si="59"/>
        <v>-548.55999999999995</v>
      </c>
      <c r="J170" s="89"/>
      <c r="K170" s="89"/>
    </row>
    <row r="171" spans="1:12" hidden="1" x14ac:dyDescent="0.4">
      <c r="A171" s="93" t="s">
        <v>160</v>
      </c>
      <c r="B171" s="88">
        <v>68.900002000000001</v>
      </c>
      <c r="C171" s="88">
        <v>69.800003000000004</v>
      </c>
      <c r="D171" s="88">
        <v>64.650002000000001</v>
      </c>
      <c r="E171" s="88">
        <v>64.949996999999996</v>
      </c>
      <c r="F171" s="89">
        <f t="shared" si="56"/>
        <v>-551.20001600000001</v>
      </c>
      <c r="G171" s="89">
        <f t="shared" si="57"/>
        <v>-558.40002400000003</v>
      </c>
      <c r="H171" s="89">
        <f t="shared" si="58"/>
        <v>-517.20001600000001</v>
      </c>
      <c r="I171" s="89">
        <f t="shared" si="59"/>
        <v>-519.59997599999997</v>
      </c>
      <c r="J171" s="89"/>
      <c r="K171" s="89"/>
    </row>
    <row r="172" spans="1:12" hidden="1" x14ac:dyDescent="0.4">
      <c r="A172" s="93" t="s">
        <v>161</v>
      </c>
      <c r="B172" s="88">
        <v>65.360000999999997</v>
      </c>
      <c r="C172" s="88">
        <v>66.209998999999996</v>
      </c>
      <c r="D172" s="88">
        <v>61.310001</v>
      </c>
      <c r="E172" s="88">
        <v>65.800003000000004</v>
      </c>
      <c r="F172" s="89">
        <f t="shared" si="56"/>
        <v>-522.88000799999998</v>
      </c>
      <c r="G172" s="89">
        <f t="shared" si="57"/>
        <v>-529.67999199999997</v>
      </c>
      <c r="H172" s="89">
        <f t="shared" si="58"/>
        <v>-490.480008</v>
      </c>
      <c r="I172" s="89">
        <f t="shared" si="59"/>
        <v>-526.40002400000003</v>
      </c>
      <c r="J172" s="89"/>
      <c r="K172" s="89"/>
    </row>
    <row r="173" spans="1:12" hidden="1" x14ac:dyDescent="0.4">
      <c r="A173" s="93" t="s">
        <v>162</v>
      </c>
      <c r="B173" s="88">
        <v>66.309997999999993</v>
      </c>
      <c r="C173" s="88">
        <v>66.760002</v>
      </c>
      <c r="D173" s="88">
        <v>63.580002</v>
      </c>
      <c r="E173" s="88">
        <v>65.129997000000003</v>
      </c>
      <c r="F173" s="89">
        <f t="shared" si="56"/>
        <v>-530.47998399999994</v>
      </c>
      <c r="G173" s="89">
        <f t="shared" si="57"/>
        <v>-534.080016</v>
      </c>
      <c r="H173" s="89">
        <f t="shared" si="58"/>
        <v>-508.640016</v>
      </c>
      <c r="I173" s="89">
        <f t="shared" si="59"/>
        <v>-521.03997600000002</v>
      </c>
      <c r="J173" s="89"/>
      <c r="K173" s="89"/>
    </row>
    <row r="174" spans="1:12" hidden="1" x14ac:dyDescent="0.4">
      <c r="A174" s="93" t="s">
        <v>163</v>
      </c>
      <c r="B174" s="88">
        <v>66.730002999999996</v>
      </c>
      <c r="C174" s="88">
        <v>67.790001000000004</v>
      </c>
      <c r="D174" s="88">
        <v>66.169998000000007</v>
      </c>
      <c r="E174" s="88">
        <v>66.870002999999997</v>
      </c>
      <c r="F174" s="89">
        <f t="shared" si="56"/>
        <v>-533.84002399999997</v>
      </c>
      <c r="G174" s="89">
        <f t="shared" si="57"/>
        <v>-542.32000800000003</v>
      </c>
      <c r="H174" s="89">
        <f t="shared" si="58"/>
        <v>-529.35998400000005</v>
      </c>
      <c r="I174" s="89">
        <f t="shared" si="59"/>
        <v>-534.96002399999998</v>
      </c>
      <c r="J174" s="89"/>
      <c r="K174" s="89"/>
    </row>
    <row r="175" spans="1:12" hidden="1" x14ac:dyDescent="0.4">
      <c r="A175" s="93" t="s">
        <v>164</v>
      </c>
      <c r="B175" s="88">
        <v>67.339995999999999</v>
      </c>
      <c r="C175" s="88">
        <v>68.260002</v>
      </c>
      <c r="D175" s="88">
        <v>65.959998999999996</v>
      </c>
      <c r="E175" s="88">
        <v>67.099997999999999</v>
      </c>
      <c r="F175" s="89">
        <f t="shared" si="56"/>
        <v>-538.71996799999999</v>
      </c>
      <c r="G175" s="89">
        <f t="shared" si="57"/>
        <v>-546.080016</v>
      </c>
      <c r="H175" s="89">
        <f t="shared" si="58"/>
        <v>-527.67999199999997</v>
      </c>
      <c r="I175" s="89">
        <f t="shared" si="59"/>
        <v>-536.79998399999999</v>
      </c>
      <c r="J175" s="89"/>
      <c r="K175" s="89"/>
    </row>
    <row r="176" spans="1:12" hidden="1" x14ac:dyDescent="0.4">
      <c r="A176" s="93" t="s">
        <v>165</v>
      </c>
      <c r="B176" s="88">
        <v>66.870002999999997</v>
      </c>
      <c r="C176" s="88">
        <v>69.059997999999993</v>
      </c>
      <c r="D176" s="88">
        <v>66.540001000000004</v>
      </c>
      <c r="E176" s="88">
        <v>68.970000999999996</v>
      </c>
      <c r="F176" s="89">
        <f t="shared" si="56"/>
        <v>-534.96002399999998</v>
      </c>
      <c r="G176" s="89">
        <f t="shared" si="57"/>
        <v>-552.47998399999994</v>
      </c>
      <c r="H176" s="89">
        <f t="shared" si="58"/>
        <v>-532.32000800000003</v>
      </c>
      <c r="I176" s="89">
        <f t="shared" si="59"/>
        <v>-551.76000799999997</v>
      </c>
      <c r="J176" s="89"/>
      <c r="K176" s="89"/>
    </row>
    <row r="177" spans="1:12" hidden="1" x14ac:dyDescent="0.4">
      <c r="A177" s="93" t="s">
        <v>166</v>
      </c>
      <c r="B177" s="88">
        <v>69.019997000000004</v>
      </c>
      <c r="C177" s="88">
        <v>70.730002999999996</v>
      </c>
      <c r="D177" s="88">
        <v>66.879997000000003</v>
      </c>
      <c r="E177" s="88">
        <v>70.720000999999996</v>
      </c>
      <c r="F177" s="89">
        <f t="shared" si="56"/>
        <v>-552.15997600000003</v>
      </c>
      <c r="G177" s="89">
        <f t="shared" si="57"/>
        <v>-565.84002399999997</v>
      </c>
      <c r="H177" s="89">
        <f t="shared" si="58"/>
        <v>-535.03997600000002</v>
      </c>
      <c r="I177" s="89">
        <f t="shared" si="59"/>
        <v>-565.76000799999997</v>
      </c>
      <c r="J177" s="89"/>
      <c r="K177" s="89"/>
    </row>
    <row r="178" spans="1:12" hidden="1" x14ac:dyDescent="0.4">
      <c r="A178" s="93" t="s">
        <v>167</v>
      </c>
      <c r="B178" s="88">
        <v>70.739998</v>
      </c>
      <c r="C178" s="88">
        <v>74.949996999999996</v>
      </c>
      <c r="D178" s="88">
        <v>70.25</v>
      </c>
      <c r="E178" s="88">
        <v>73.25</v>
      </c>
      <c r="F178" s="89">
        <f t="shared" si="56"/>
        <v>-565.919984</v>
      </c>
      <c r="G178" s="89">
        <f t="shared" si="57"/>
        <v>-599.59997599999997</v>
      </c>
      <c r="H178" s="89">
        <f t="shared" si="58"/>
        <v>-562</v>
      </c>
      <c r="I178" s="89">
        <f t="shared" si="59"/>
        <v>-586</v>
      </c>
      <c r="J178" s="89"/>
      <c r="K178" s="89"/>
    </row>
    <row r="179" spans="1:12" hidden="1" x14ac:dyDescent="0.4">
      <c r="A179" s="93" t="s">
        <v>168</v>
      </c>
      <c r="B179" s="88">
        <v>73.260002</v>
      </c>
      <c r="C179" s="88">
        <v>73.819999999999993</v>
      </c>
      <c r="D179" s="88">
        <v>69.150002000000001</v>
      </c>
      <c r="E179" s="88">
        <v>71.269997000000004</v>
      </c>
      <c r="F179" s="89">
        <f t="shared" si="56"/>
        <v>-586.080016</v>
      </c>
      <c r="G179" s="89">
        <f t="shared" si="57"/>
        <v>-590.55999999999995</v>
      </c>
      <c r="H179" s="89">
        <f t="shared" si="58"/>
        <v>-553.20001600000001</v>
      </c>
      <c r="I179" s="89">
        <f t="shared" si="59"/>
        <v>-570.15997600000003</v>
      </c>
      <c r="J179" s="89">
        <f t="shared" ref="J179" si="66">-MAX(C179:C190)*12*J$1</f>
        <v>-7681.7997479999995</v>
      </c>
      <c r="K179" s="89">
        <f t="shared" ref="K179" si="67">-MIN(D179:D190)*12*K$1</f>
        <v>-9127.8002639999995</v>
      </c>
      <c r="L179" s="89">
        <f t="shared" ref="L179" si="68">L170</f>
        <v>0</v>
      </c>
    </row>
    <row r="180" spans="1:12" hidden="1" x14ac:dyDescent="0.4">
      <c r="A180" s="93" t="s">
        <v>169</v>
      </c>
      <c r="B180" s="88">
        <v>71.75</v>
      </c>
      <c r="C180" s="88">
        <v>76.209998999999996</v>
      </c>
      <c r="D180" s="88">
        <v>71.349997999999999</v>
      </c>
      <c r="E180" s="88">
        <v>75.769997000000004</v>
      </c>
      <c r="F180" s="89">
        <f t="shared" si="56"/>
        <v>-574</v>
      </c>
      <c r="G180" s="89">
        <f t="shared" si="57"/>
        <v>-609.67999199999997</v>
      </c>
      <c r="H180" s="89">
        <f t="shared" si="58"/>
        <v>-570.79998399999999</v>
      </c>
      <c r="I180" s="89">
        <f t="shared" si="59"/>
        <v>-606.15997600000003</v>
      </c>
      <c r="J180" s="89"/>
      <c r="K180" s="89"/>
    </row>
    <row r="181" spans="1:12" hidden="1" x14ac:dyDescent="0.4">
      <c r="A181" s="93" t="s">
        <v>170</v>
      </c>
      <c r="B181" s="88">
        <v>76.290001000000004</v>
      </c>
      <c r="C181" s="88">
        <v>77.279999000000004</v>
      </c>
      <c r="D181" s="88">
        <v>74.959998999999996</v>
      </c>
      <c r="E181" s="88">
        <v>75.470000999999996</v>
      </c>
      <c r="F181" s="89">
        <f t="shared" si="56"/>
        <v>-610.32000800000003</v>
      </c>
      <c r="G181" s="89">
        <f t="shared" si="57"/>
        <v>-618.23999200000003</v>
      </c>
      <c r="H181" s="89">
        <f t="shared" si="58"/>
        <v>-599.67999199999997</v>
      </c>
      <c r="I181" s="89">
        <f t="shared" si="59"/>
        <v>-603.76000799999997</v>
      </c>
      <c r="J181" s="89"/>
      <c r="K181" s="89"/>
    </row>
    <row r="182" spans="1:12" hidden="1" x14ac:dyDescent="0.4">
      <c r="A182" s="93" t="s">
        <v>171</v>
      </c>
      <c r="B182" s="88">
        <v>76.089995999999999</v>
      </c>
      <c r="C182" s="88">
        <v>79.690002000000007</v>
      </c>
      <c r="D182" s="88">
        <v>75.540001000000004</v>
      </c>
      <c r="E182" s="88">
        <v>78.879997000000003</v>
      </c>
      <c r="F182" s="89">
        <f t="shared" si="56"/>
        <v>-608.71996799999999</v>
      </c>
      <c r="G182" s="89">
        <f t="shared" si="57"/>
        <v>-637.52001600000006</v>
      </c>
      <c r="H182" s="89">
        <f t="shared" si="58"/>
        <v>-604.32000800000003</v>
      </c>
      <c r="I182" s="89">
        <f t="shared" si="59"/>
        <v>-631.03997600000002</v>
      </c>
      <c r="J182" s="89"/>
      <c r="K182" s="89"/>
    </row>
    <row r="183" spans="1:12" hidden="1" x14ac:dyDescent="0.4">
      <c r="A183" s="93" t="s">
        <v>172</v>
      </c>
      <c r="B183" s="88">
        <v>78.889999000000003</v>
      </c>
      <c r="C183" s="88">
        <v>83.489998</v>
      </c>
      <c r="D183" s="88">
        <v>76.349997999999999</v>
      </c>
      <c r="E183" s="88">
        <v>82.790001000000004</v>
      </c>
      <c r="F183" s="89">
        <f t="shared" si="56"/>
        <v>-631.11999200000002</v>
      </c>
      <c r="G183" s="89">
        <f t="shared" si="57"/>
        <v>-667.919984</v>
      </c>
      <c r="H183" s="89">
        <f t="shared" si="58"/>
        <v>-610.79998399999999</v>
      </c>
      <c r="I183" s="89">
        <f t="shared" si="59"/>
        <v>-662.32000800000003</v>
      </c>
      <c r="J183" s="89"/>
      <c r="K183" s="89"/>
    </row>
    <row r="184" spans="1:12" hidden="1" x14ac:dyDescent="0.4">
      <c r="A184" s="93" t="s">
        <v>173</v>
      </c>
      <c r="B184" s="88">
        <v>83.07</v>
      </c>
      <c r="C184" s="88">
        <v>85.839995999999999</v>
      </c>
      <c r="D184" s="88">
        <v>81.370002999999997</v>
      </c>
      <c r="E184" s="88">
        <v>85.730002999999996</v>
      </c>
      <c r="F184" s="89">
        <f t="shared" si="56"/>
        <v>-664.56</v>
      </c>
      <c r="G184" s="89">
        <f t="shared" si="57"/>
        <v>-686.71996799999999</v>
      </c>
      <c r="H184" s="89">
        <f t="shared" si="58"/>
        <v>-650.96002399999998</v>
      </c>
      <c r="I184" s="89">
        <f t="shared" si="59"/>
        <v>-685.84002399999997</v>
      </c>
      <c r="J184" s="89"/>
      <c r="K184" s="89"/>
    </row>
    <row r="185" spans="1:12" hidden="1" x14ac:dyDescent="0.4">
      <c r="A185" s="93" t="s">
        <v>174</v>
      </c>
      <c r="B185" s="88">
        <v>85.830001999999993</v>
      </c>
      <c r="C185" s="88">
        <v>87.959998999999996</v>
      </c>
      <c r="D185" s="88">
        <v>84.050003000000004</v>
      </c>
      <c r="E185" s="88">
        <v>87.959998999999996</v>
      </c>
      <c r="F185" s="89">
        <f t="shared" si="56"/>
        <v>-686.64001599999995</v>
      </c>
      <c r="G185" s="89">
        <f t="shared" si="57"/>
        <v>-703.67999199999997</v>
      </c>
      <c r="H185" s="89">
        <f t="shared" si="58"/>
        <v>-672.40002400000003</v>
      </c>
      <c r="I185" s="89">
        <f t="shared" si="59"/>
        <v>-703.67999199999997</v>
      </c>
      <c r="J185" s="89"/>
      <c r="K185" s="89"/>
    </row>
    <row r="186" spans="1:12" hidden="1" x14ac:dyDescent="0.4">
      <c r="A186" s="93" t="s">
        <v>175</v>
      </c>
      <c r="B186" s="88">
        <v>87.550003000000004</v>
      </c>
      <c r="C186" s="88">
        <v>89</v>
      </c>
      <c r="D186" s="88">
        <v>84.760002</v>
      </c>
      <c r="E186" s="88">
        <v>86.269997000000004</v>
      </c>
      <c r="F186" s="89">
        <f t="shared" si="56"/>
        <v>-700.40002400000003</v>
      </c>
      <c r="G186" s="89">
        <f t="shared" si="57"/>
        <v>-712</v>
      </c>
      <c r="H186" s="89">
        <f t="shared" si="58"/>
        <v>-678.080016</v>
      </c>
      <c r="I186" s="89">
        <f t="shared" si="59"/>
        <v>-690.15997600000003</v>
      </c>
      <c r="J186" s="89"/>
      <c r="K186" s="89"/>
    </row>
    <row r="187" spans="1:12" hidden="1" x14ac:dyDescent="0.4">
      <c r="A187" s="93" t="s">
        <v>176</v>
      </c>
      <c r="B187" s="88">
        <v>86.110000999999997</v>
      </c>
      <c r="C187" s="88">
        <v>90.959998999999996</v>
      </c>
      <c r="D187" s="88">
        <v>83.739998</v>
      </c>
      <c r="E187" s="88">
        <v>90.339995999999999</v>
      </c>
      <c r="F187" s="89">
        <f t="shared" si="56"/>
        <v>-688.88000799999998</v>
      </c>
      <c r="G187" s="89">
        <f t="shared" si="57"/>
        <v>-727.67999199999997</v>
      </c>
      <c r="H187" s="89">
        <f t="shared" si="58"/>
        <v>-669.919984</v>
      </c>
      <c r="I187" s="89">
        <f t="shared" si="59"/>
        <v>-722.71996799999999</v>
      </c>
      <c r="J187" s="89"/>
      <c r="K187" s="89"/>
    </row>
    <row r="188" spans="1:12" hidden="1" x14ac:dyDescent="0.4">
      <c r="A188" s="93" t="s">
        <v>177</v>
      </c>
      <c r="B188" s="88">
        <v>89.489998</v>
      </c>
      <c r="C188" s="88">
        <v>91.360000999999997</v>
      </c>
      <c r="D188" s="88">
        <v>86.400002000000001</v>
      </c>
      <c r="E188" s="88">
        <v>87.669998000000007</v>
      </c>
      <c r="F188" s="89">
        <f t="shared" si="56"/>
        <v>-715.919984</v>
      </c>
      <c r="G188" s="89">
        <f t="shared" si="57"/>
        <v>-730.88000799999998</v>
      </c>
      <c r="H188" s="89">
        <f t="shared" si="58"/>
        <v>-691.20001600000001</v>
      </c>
      <c r="I188" s="89">
        <f t="shared" si="59"/>
        <v>-701.35998400000005</v>
      </c>
      <c r="J188" s="89"/>
      <c r="K188" s="89"/>
    </row>
    <row r="189" spans="1:12" hidden="1" x14ac:dyDescent="0.4">
      <c r="A189" s="93" t="s">
        <v>178</v>
      </c>
      <c r="B189" s="88">
        <v>88.099997999999999</v>
      </c>
      <c r="C189" s="88">
        <v>89.68</v>
      </c>
      <c r="D189" s="88">
        <v>83.279999000000004</v>
      </c>
      <c r="E189" s="88">
        <v>87.389999000000003</v>
      </c>
      <c r="F189" s="89">
        <f t="shared" si="56"/>
        <v>-704.79998399999999</v>
      </c>
      <c r="G189" s="89">
        <f t="shared" si="57"/>
        <v>-717.44</v>
      </c>
      <c r="H189" s="89">
        <f t="shared" si="58"/>
        <v>-666.23999200000003</v>
      </c>
      <c r="I189" s="89">
        <f t="shared" si="59"/>
        <v>-699.11999200000002</v>
      </c>
      <c r="J189" s="89"/>
      <c r="K189" s="89"/>
    </row>
    <row r="190" spans="1:12" hidden="1" x14ac:dyDescent="0.4">
      <c r="A190" s="93" t="s">
        <v>179</v>
      </c>
      <c r="B190" s="88">
        <v>87.529999000000004</v>
      </c>
      <c r="C190" s="88">
        <v>91.449996999999996</v>
      </c>
      <c r="D190" s="88">
        <v>85.529999000000004</v>
      </c>
      <c r="E190" s="88">
        <v>91.309997999999993</v>
      </c>
      <c r="F190" s="89">
        <f t="shared" si="56"/>
        <v>-700.23999200000003</v>
      </c>
      <c r="G190" s="89">
        <f t="shared" si="57"/>
        <v>-731.59997599999997</v>
      </c>
      <c r="H190" s="89">
        <f t="shared" si="58"/>
        <v>-684.23999200000003</v>
      </c>
      <c r="I190" s="89">
        <f t="shared" si="59"/>
        <v>-730.47998399999994</v>
      </c>
      <c r="J190" s="89"/>
      <c r="K190" s="89"/>
    </row>
    <row r="191" spans="1:12" hidden="1" x14ac:dyDescent="0.4">
      <c r="A191" s="93" t="s">
        <v>180</v>
      </c>
      <c r="B191" s="88">
        <v>91.419998000000007</v>
      </c>
      <c r="C191" s="88">
        <v>94.139999000000003</v>
      </c>
      <c r="D191" s="88">
        <v>90.639999000000003</v>
      </c>
      <c r="E191" s="88">
        <v>93.910004000000001</v>
      </c>
      <c r="F191" s="89">
        <f t="shared" si="56"/>
        <v>-731.35998400000005</v>
      </c>
      <c r="G191" s="89">
        <f t="shared" si="57"/>
        <v>-753.11999200000002</v>
      </c>
      <c r="H191" s="89">
        <f t="shared" si="58"/>
        <v>-725.11999200000002</v>
      </c>
      <c r="I191" s="89">
        <f t="shared" si="59"/>
        <v>-751.28003200000001</v>
      </c>
      <c r="J191" s="89">
        <f t="shared" ref="J191" si="69">-MAX(C191:C202)*12*J$1</f>
        <v>-9337.4403359999997</v>
      </c>
      <c r="K191" s="89">
        <f t="shared" ref="K191" si="70">-MIN(D191:D202)*12*K$1</f>
        <v>-11911.679736</v>
      </c>
      <c r="L191" s="89">
        <f t="shared" ref="L191" si="71">L182</f>
        <v>0</v>
      </c>
    </row>
    <row r="192" spans="1:12" hidden="1" x14ac:dyDescent="0.4">
      <c r="A192" s="93" t="s">
        <v>181</v>
      </c>
      <c r="B192" s="88">
        <v>94.239998</v>
      </c>
      <c r="C192" s="88">
        <v>97.510002</v>
      </c>
      <c r="D192" s="88">
        <v>93.629997000000003</v>
      </c>
      <c r="E192" s="88">
        <v>95.019997000000004</v>
      </c>
      <c r="F192" s="89">
        <f t="shared" si="56"/>
        <v>-753.919984</v>
      </c>
      <c r="G192" s="89">
        <f t="shared" si="57"/>
        <v>-780.080016</v>
      </c>
      <c r="H192" s="89">
        <f t="shared" si="58"/>
        <v>-749.03997600000002</v>
      </c>
      <c r="I192" s="89">
        <f t="shared" si="59"/>
        <v>-760.15997600000003</v>
      </c>
      <c r="J192" s="89"/>
      <c r="K192" s="89"/>
    </row>
    <row r="193" spans="1:12" hidden="1" x14ac:dyDescent="0.4">
      <c r="A193" s="93" t="s">
        <v>182</v>
      </c>
      <c r="B193" s="88">
        <v>94.82</v>
      </c>
      <c r="C193" s="88">
        <v>99.910004000000001</v>
      </c>
      <c r="D193" s="88">
        <v>93.889999000000003</v>
      </c>
      <c r="E193" s="88">
        <v>99.779999000000004</v>
      </c>
      <c r="F193" s="89">
        <f t="shared" si="56"/>
        <v>-758.56</v>
      </c>
      <c r="G193" s="89">
        <f t="shared" si="57"/>
        <v>-799.28003200000001</v>
      </c>
      <c r="H193" s="89">
        <f t="shared" si="58"/>
        <v>-751.11999200000002</v>
      </c>
      <c r="I193" s="89">
        <f t="shared" si="59"/>
        <v>-798.23999200000003</v>
      </c>
      <c r="J193" s="89"/>
      <c r="K193" s="89"/>
    </row>
    <row r="194" spans="1:12" hidden="1" x14ac:dyDescent="0.4">
      <c r="A194" s="93" t="s">
        <v>183</v>
      </c>
      <c r="B194" s="88">
        <v>100.019997</v>
      </c>
      <c r="C194" s="88">
        <v>100.55999799999999</v>
      </c>
      <c r="D194" s="88">
        <v>97.699996999999996</v>
      </c>
      <c r="E194" s="88">
        <v>98.790001000000004</v>
      </c>
      <c r="F194" s="89">
        <f t="shared" si="56"/>
        <v>-800.15997600000003</v>
      </c>
      <c r="G194" s="89">
        <f t="shared" si="57"/>
        <v>-804.47998399999994</v>
      </c>
      <c r="H194" s="89">
        <f t="shared" si="58"/>
        <v>-781.59997599999997</v>
      </c>
      <c r="I194" s="89">
        <f t="shared" si="59"/>
        <v>-790.32000800000003</v>
      </c>
      <c r="J194" s="89"/>
      <c r="K194" s="89"/>
    </row>
    <row r="195" spans="1:12" hidden="1" x14ac:dyDescent="0.4">
      <c r="A195" s="93" t="s">
        <v>184</v>
      </c>
      <c r="B195" s="88">
        <v>98.510002</v>
      </c>
      <c r="C195" s="88">
        <v>101.75</v>
      </c>
      <c r="D195" s="88">
        <v>90.239998</v>
      </c>
      <c r="E195" s="88">
        <v>101.400002</v>
      </c>
      <c r="F195" s="89">
        <f t="shared" si="56"/>
        <v>-788.080016</v>
      </c>
      <c r="G195" s="89">
        <f t="shared" si="57"/>
        <v>-814</v>
      </c>
      <c r="H195" s="89">
        <f t="shared" si="58"/>
        <v>-721.919984</v>
      </c>
      <c r="I195" s="89">
        <f t="shared" si="59"/>
        <v>-811.20001600000001</v>
      </c>
      <c r="J195" s="89"/>
      <c r="K195" s="89"/>
    </row>
    <row r="196" spans="1:12" hidden="1" x14ac:dyDescent="0.4">
      <c r="A196" s="93" t="s">
        <v>185</v>
      </c>
      <c r="B196" s="88">
        <v>101.58000199999999</v>
      </c>
      <c r="C196" s="88">
        <v>106.25</v>
      </c>
      <c r="D196" s="88">
        <v>100.66999800000001</v>
      </c>
      <c r="E196" s="88">
        <v>106.010002</v>
      </c>
      <c r="F196" s="89">
        <f t="shared" si="56"/>
        <v>-812.64001599999995</v>
      </c>
      <c r="G196" s="89">
        <f t="shared" si="57"/>
        <v>-850</v>
      </c>
      <c r="H196" s="89">
        <f t="shared" si="58"/>
        <v>-805.35998400000005</v>
      </c>
      <c r="I196" s="89">
        <f t="shared" si="59"/>
        <v>-848.080016</v>
      </c>
      <c r="J196" s="89"/>
      <c r="K196" s="89"/>
    </row>
    <row r="197" spans="1:12" hidden="1" x14ac:dyDescent="0.4">
      <c r="A197" s="93" t="s">
        <v>186</v>
      </c>
      <c r="B197" s="88">
        <v>105.720001</v>
      </c>
      <c r="C197" s="88">
        <v>105.91999800000001</v>
      </c>
      <c r="D197" s="88">
        <v>99.919998000000007</v>
      </c>
      <c r="E197" s="88">
        <v>103.25</v>
      </c>
      <c r="F197" s="89">
        <f t="shared" si="56"/>
        <v>-845.76000799999997</v>
      </c>
      <c r="G197" s="89">
        <f t="shared" si="57"/>
        <v>-847.35998400000005</v>
      </c>
      <c r="H197" s="89">
        <f t="shared" si="58"/>
        <v>-799.35998400000005</v>
      </c>
      <c r="I197" s="89">
        <f t="shared" si="59"/>
        <v>-826</v>
      </c>
      <c r="J197" s="89"/>
      <c r="K197" s="89"/>
    </row>
    <row r="198" spans="1:12" hidden="1" x14ac:dyDescent="0.4">
      <c r="A198" s="93" t="s">
        <v>187</v>
      </c>
      <c r="B198" s="88">
        <v>103.760002</v>
      </c>
      <c r="C198" s="88">
        <v>104.58000199999999</v>
      </c>
      <c r="D198" s="88">
        <v>99.360000999999997</v>
      </c>
      <c r="E198" s="88">
        <v>101.099998</v>
      </c>
      <c r="F198" s="89">
        <f t="shared" si="56"/>
        <v>-830.080016</v>
      </c>
      <c r="G198" s="89">
        <f t="shared" si="57"/>
        <v>-836.64001599999995</v>
      </c>
      <c r="H198" s="89">
        <f t="shared" si="58"/>
        <v>-794.88000799999998</v>
      </c>
      <c r="I198" s="89">
        <f t="shared" si="59"/>
        <v>-808.79998399999999</v>
      </c>
      <c r="J198" s="89"/>
      <c r="K198" s="89"/>
    </row>
    <row r="199" spans="1:12" hidden="1" x14ac:dyDescent="0.4">
      <c r="A199" s="93" t="s">
        <v>188</v>
      </c>
      <c r="B199" s="88">
        <v>101.33000199999999</v>
      </c>
      <c r="C199" s="88">
        <v>108.94000200000001</v>
      </c>
      <c r="D199" s="88">
        <v>99.75</v>
      </c>
      <c r="E199" s="88">
        <v>108.400002</v>
      </c>
      <c r="F199" s="89">
        <f t="shared" si="56"/>
        <v>-810.64001599999995</v>
      </c>
      <c r="G199" s="89">
        <f t="shared" si="57"/>
        <v>-871.52001600000006</v>
      </c>
      <c r="H199" s="89">
        <f t="shared" si="58"/>
        <v>-798</v>
      </c>
      <c r="I199" s="89">
        <f t="shared" si="59"/>
        <v>-867.20001600000001</v>
      </c>
      <c r="J199" s="89"/>
      <c r="K199" s="89"/>
    </row>
    <row r="200" spans="1:12" hidden="1" x14ac:dyDescent="0.4">
      <c r="A200" s="93" t="s">
        <v>189</v>
      </c>
      <c r="B200" s="88">
        <v>108.610001</v>
      </c>
      <c r="C200" s="88">
        <v>109.41999800000001</v>
      </c>
      <c r="D200" s="88">
        <v>104.239998</v>
      </c>
      <c r="E200" s="88">
        <v>105.599998</v>
      </c>
      <c r="F200" s="89">
        <f t="shared" si="56"/>
        <v>-868.88000799999998</v>
      </c>
      <c r="G200" s="89">
        <f t="shared" si="57"/>
        <v>-875.35998400000005</v>
      </c>
      <c r="H200" s="89">
        <f t="shared" si="58"/>
        <v>-833.919984</v>
      </c>
      <c r="I200" s="89">
        <f t="shared" si="59"/>
        <v>-844.79998399999999</v>
      </c>
      <c r="J200" s="89"/>
      <c r="K200" s="89"/>
    </row>
    <row r="201" spans="1:12" hidden="1" x14ac:dyDescent="0.4">
      <c r="A201" s="93" t="s">
        <v>190</v>
      </c>
      <c r="B201" s="88">
        <v>105.599998</v>
      </c>
      <c r="C201" s="88">
        <v>111.160004</v>
      </c>
      <c r="D201" s="88">
        <v>104.339996</v>
      </c>
      <c r="E201" s="88">
        <v>107.629997</v>
      </c>
      <c r="F201" s="89">
        <f t="shared" si="56"/>
        <v>-844.79998399999999</v>
      </c>
      <c r="G201" s="89">
        <f t="shared" si="57"/>
        <v>-889.28003200000001</v>
      </c>
      <c r="H201" s="89">
        <f t="shared" si="58"/>
        <v>-834.71996799999999</v>
      </c>
      <c r="I201" s="89">
        <f t="shared" si="59"/>
        <v>-861.03997600000002</v>
      </c>
      <c r="J201" s="89"/>
      <c r="K201" s="89"/>
    </row>
    <row r="202" spans="1:12" hidden="1" x14ac:dyDescent="0.4">
      <c r="A202" s="93" t="s">
        <v>191</v>
      </c>
      <c r="B202" s="88">
        <v>108.050003</v>
      </c>
      <c r="C202" s="88">
        <v>111.08000199999999</v>
      </c>
      <c r="D202" s="88">
        <v>106</v>
      </c>
      <c r="E202" s="88">
        <v>110.050003</v>
      </c>
      <c r="F202" s="89">
        <f t="shared" si="56"/>
        <v>-864.40002400000003</v>
      </c>
      <c r="G202" s="89">
        <f t="shared" si="57"/>
        <v>-888.64001599999995</v>
      </c>
      <c r="H202" s="89">
        <f t="shared" si="58"/>
        <v>-848</v>
      </c>
      <c r="I202" s="89">
        <f t="shared" si="59"/>
        <v>-880.40002400000003</v>
      </c>
      <c r="J202" s="89"/>
      <c r="K202" s="89"/>
    </row>
    <row r="203" spans="1:12" hidden="1" x14ac:dyDescent="0.4">
      <c r="A203" s="93" t="s">
        <v>192</v>
      </c>
      <c r="B203" s="88">
        <v>110.639999</v>
      </c>
      <c r="C203" s="88">
        <v>111.129997</v>
      </c>
      <c r="D203" s="88">
        <v>106.639999</v>
      </c>
      <c r="E203" s="88">
        <v>107.07</v>
      </c>
      <c r="F203" s="89">
        <f t="shared" si="56"/>
        <v>-885.11999200000002</v>
      </c>
      <c r="G203" s="89">
        <f t="shared" si="57"/>
        <v>-889.03997600000002</v>
      </c>
      <c r="H203" s="89">
        <f t="shared" si="58"/>
        <v>-853.11999200000002</v>
      </c>
      <c r="I203" s="89">
        <f t="shared" si="59"/>
        <v>-856.56</v>
      </c>
      <c r="J203" s="89">
        <f t="shared" ref="J203" si="72">-MAX(C203:C214)*12*J$1</f>
        <v>-9723</v>
      </c>
      <c r="K203" s="89">
        <f t="shared" ref="K203" si="73">-MIN(D203:D214)*12*K$1</f>
        <v>-11185.679736</v>
      </c>
      <c r="L203" s="89">
        <f t="shared" ref="L203" si="74">L194</f>
        <v>0</v>
      </c>
    </row>
    <row r="204" spans="1:12" hidden="1" x14ac:dyDescent="0.4">
      <c r="A204" s="93" t="s">
        <v>193</v>
      </c>
      <c r="B204" s="88">
        <v>108.129997</v>
      </c>
      <c r="C204" s="88">
        <v>114.389999</v>
      </c>
      <c r="D204" s="88">
        <v>105.83000199999999</v>
      </c>
      <c r="E204" s="88">
        <v>111.949997</v>
      </c>
      <c r="F204" s="89">
        <f t="shared" si="56"/>
        <v>-865.03997600000002</v>
      </c>
      <c r="G204" s="89">
        <f t="shared" si="57"/>
        <v>-915.11999200000002</v>
      </c>
      <c r="H204" s="89">
        <f t="shared" si="58"/>
        <v>-846.64001599999995</v>
      </c>
      <c r="I204" s="89">
        <f t="shared" si="59"/>
        <v>-895.59997599999997</v>
      </c>
      <c r="J204" s="89"/>
      <c r="K204" s="89"/>
    </row>
    <row r="205" spans="1:12" hidden="1" x14ac:dyDescent="0.4">
      <c r="A205" s="93" t="s">
        <v>194</v>
      </c>
      <c r="B205" s="88">
        <v>111.970001</v>
      </c>
      <c r="C205" s="88">
        <v>113</v>
      </c>
      <c r="D205" s="88">
        <v>84.739998</v>
      </c>
      <c r="E205" s="88">
        <v>104.30999799999999</v>
      </c>
      <c r="F205" s="89">
        <f t="shared" si="56"/>
        <v>-895.76000799999997</v>
      </c>
      <c r="G205" s="89">
        <f t="shared" si="57"/>
        <v>-904</v>
      </c>
      <c r="H205" s="89">
        <f t="shared" si="58"/>
        <v>-677.919984</v>
      </c>
      <c r="I205" s="89">
        <f t="shared" si="59"/>
        <v>-834.47998399999994</v>
      </c>
      <c r="J205" s="89"/>
      <c r="K205" s="89"/>
    </row>
    <row r="206" spans="1:12" hidden="1" x14ac:dyDescent="0.4">
      <c r="A206" s="93" t="s">
        <v>195</v>
      </c>
      <c r="B206" s="88">
        <v>101.709999</v>
      </c>
      <c r="C206" s="88">
        <v>108.730003</v>
      </c>
      <c r="D206" s="88">
        <v>98.75</v>
      </c>
      <c r="E206" s="88">
        <v>101.760002</v>
      </c>
      <c r="F206" s="89">
        <f t="shared" si="56"/>
        <v>-813.67999199999997</v>
      </c>
      <c r="G206" s="89">
        <f t="shared" si="57"/>
        <v>-869.84002399999997</v>
      </c>
      <c r="H206" s="89">
        <f t="shared" si="58"/>
        <v>-790</v>
      </c>
      <c r="I206" s="89">
        <f t="shared" si="59"/>
        <v>-814.080016</v>
      </c>
      <c r="J206" s="89"/>
      <c r="K206" s="89"/>
    </row>
    <row r="207" spans="1:12" hidden="1" x14ac:dyDescent="0.4">
      <c r="A207" s="93" t="s">
        <v>196</v>
      </c>
      <c r="B207" s="88">
        <v>101.94000200000001</v>
      </c>
      <c r="C207" s="88">
        <v>114.08000199999999</v>
      </c>
      <c r="D207" s="88">
        <v>100.480003</v>
      </c>
      <c r="E207" s="88">
        <v>113.33000199999999</v>
      </c>
      <c r="F207" s="89">
        <f t="shared" si="56"/>
        <v>-815.52001600000006</v>
      </c>
      <c r="G207" s="89">
        <f t="shared" si="57"/>
        <v>-912.64001599999995</v>
      </c>
      <c r="H207" s="89">
        <f t="shared" si="58"/>
        <v>-803.84002399999997</v>
      </c>
      <c r="I207" s="89">
        <f t="shared" si="59"/>
        <v>-906.64001599999995</v>
      </c>
      <c r="J207" s="89"/>
      <c r="K207" s="89"/>
    </row>
    <row r="208" spans="1:12" hidden="1" x14ac:dyDescent="0.4">
      <c r="A208" s="93" t="s">
        <v>197</v>
      </c>
      <c r="B208" s="88">
        <v>113.629997</v>
      </c>
      <c r="C208" s="88">
        <v>115.470001</v>
      </c>
      <c r="D208" s="88">
        <v>109.480003</v>
      </c>
      <c r="E208" s="88">
        <v>114.019997</v>
      </c>
      <c r="F208" s="89">
        <f t="shared" si="56"/>
        <v>-909.03997600000002</v>
      </c>
      <c r="G208" s="89">
        <f t="shared" si="57"/>
        <v>-923.76000799999997</v>
      </c>
      <c r="H208" s="89">
        <f t="shared" si="58"/>
        <v>-875.84002399999997</v>
      </c>
      <c r="I208" s="89">
        <f t="shared" si="59"/>
        <v>-912.15997600000003</v>
      </c>
      <c r="J208" s="89"/>
      <c r="K208" s="89"/>
    </row>
    <row r="209" spans="1:12" hidden="1" x14ac:dyDescent="0.4">
      <c r="A209" s="93" t="s">
        <v>198</v>
      </c>
      <c r="B209" s="88">
        <v>114.480003</v>
      </c>
      <c r="C209" s="88">
        <v>115.75</v>
      </c>
      <c r="D209" s="88">
        <v>109.379997</v>
      </c>
      <c r="E209" s="88">
        <v>111.860001</v>
      </c>
      <c r="F209" s="89">
        <f t="shared" si="56"/>
        <v>-915.84002399999997</v>
      </c>
      <c r="G209" s="89">
        <f t="shared" si="57"/>
        <v>-926</v>
      </c>
      <c r="H209" s="89">
        <f t="shared" si="58"/>
        <v>-875.03997600000002</v>
      </c>
      <c r="I209" s="89">
        <f t="shared" si="59"/>
        <v>-894.88000799999998</v>
      </c>
      <c r="J209" s="89"/>
      <c r="K209" s="89"/>
    </row>
    <row r="210" spans="1:12" hidden="1" x14ac:dyDescent="0.4">
      <c r="A210" s="93" t="s">
        <v>199</v>
      </c>
      <c r="B210" s="88">
        <v>109.449997</v>
      </c>
      <c r="C210" s="88">
        <v>110.18</v>
      </c>
      <c r="D210" s="88">
        <v>97.25</v>
      </c>
      <c r="E210" s="88">
        <v>104.129997</v>
      </c>
      <c r="F210" s="89">
        <f t="shared" si="56"/>
        <v>-875.59997599999997</v>
      </c>
      <c r="G210" s="89">
        <f t="shared" si="57"/>
        <v>-881.44</v>
      </c>
      <c r="H210" s="89">
        <f t="shared" si="58"/>
        <v>-778</v>
      </c>
      <c r="I210" s="89">
        <f t="shared" si="59"/>
        <v>-833.03997600000002</v>
      </c>
      <c r="J210" s="89"/>
      <c r="K210" s="89"/>
    </row>
    <row r="211" spans="1:12" hidden="1" x14ac:dyDescent="0.4">
      <c r="A211" s="93" t="s">
        <v>200</v>
      </c>
      <c r="B211" s="88">
        <v>103.629997</v>
      </c>
      <c r="C211" s="88">
        <v>104.800003</v>
      </c>
      <c r="D211" s="88">
        <v>94.839995999999999</v>
      </c>
      <c r="E211" s="88">
        <v>102.5</v>
      </c>
      <c r="F211" s="89">
        <f t="shared" si="56"/>
        <v>-829.03997600000002</v>
      </c>
      <c r="G211" s="89">
        <f t="shared" si="57"/>
        <v>-838.40002400000003</v>
      </c>
      <c r="H211" s="89">
        <f t="shared" si="58"/>
        <v>-758.71996799999999</v>
      </c>
      <c r="I211" s="89">
        <f t="shared" si="59"/>
        <v>-820</v>
      </c>
      <c r="J211" s="89"/>
      <c r="K211" s="89"/>
    </row>
    <row r="212" spans="1:12" hidden="1" x14ac:dyDescent="0.4">
      <c r="A212" s="93" t="s">
        <v>201</v>
      </c>
      <c r="B212" s="88">
        <v>103.480003</v>
      </c>
      <c r="C212" s="88">
        <v>110.040001</v>
      </c>
      <c r="D212" s="88">
        <v>103.160004</v>
      </c>
      <c r="E212" s="88">
        <v>109.199997</v>
      </c>
      <c r="F212" s="89">
        <f t="shared" si="56"/>
        <v>-827.84002399999997</v>
      </c>
      <c r="G212" s="89">
        <f t="shared" si="57"/>
        <v>-880.32000800000003</v>
      </c>
      <c r="H212" s="89">
        <f t="shared" si="58"/>
        <v>-825.28003200000001</v>
      </c>
      <c r="I212" s="89">
        <f t="shared" si="59"/>
        <v>-873.59997599999997</v>
      </c>
      <c r="J212" s="89"/>
      <c r="K212" s="89"/>
    </row>
    <row r="213" spans="1:12" hidden="1" x14ac:dyDescent="0.4">
      <c r="A213" s="93" t="s">
        <v>202</v>
      </c>
      <c r="B213" s="88">
        <v>108.540001</v>
      </c>
      <c r="C213" s="88">
        <v>111.44000200000001</v>
      </c>
      <c r="D213" s="88">
        <v>104.879997</v>
      </c>
      <c r="E213" s="88">
        <v>105.720001</v>
      </c>
      <c r="F213" s="89">
        <f t="shared" si="56"/>
        <v>-868.32000800000003</v>
      </c>
      <c r="G213" s="89">
        <f t="shared" si="57"/>
        <v>-891.52001600000006</v>
      </c>
      <c r="H213" s="89">
        <f t="shared" si="58"/>
        <v>-839.03997600000002</v>
      </c>
      <c r="I213" s="89">
        <f t="shared" si="59"/>
        <v>-845.76000799999997</v>
      </c>
      <c r="J213" s="89"/>
      <c r="K213" s="89"/>
    </row>
    <row r="214" spans="1:12" hidden="1" x14ac:dyDescent="0.4">
      <c r="A214" s="93" t="s">
        <v>203</v>
      </c>
      <c r="B214" s="88">
        <v>105.989998</v>
      </c>
      <c r="C214" s="88">
        <v>110.510002</v>
      </c>
      <c r="D214" s="88">
        <v>104.400002</v>
      </c>
      <c r="E214" s="88">
        <v>110.339996</v>
      </c>
      <c r="F214" s="89">
        <f t="shared" si="56"/>
        <v>-847.919984</v>
      </c>
      <c r="G214" s="89">
        <f t="shared" si="57"/>
        <v>-884.080016</v>
      </c>
      <c r="H214" s="89">
        <f t="shared" si="58"/>
        <v>-835.20001600000001</v>
      </c>
      <c r="I214" s="89">
        <f t="shared" si="59"/>
        <v>-882.71996799999999</v>
      </c>
      <c r="J214" s="89"/>
      <c r="K214" s="89"/>
    </row>
    <row r="215" spans="1:12" hidden="1" x14ac:dyDescent="0.4">
      <c r="A215" s="93" t="s">
        <v>204</v>
      </c>
      <c r="B215" s="88">
        <v>110</v>
      </c>
      <c r="C215" s="88">
        <v>110.75</v>
      </c>
      <c r="D215" s="88">
        <v>101.75</v>
      </c>
      <c r="E215" s="88">
        <v>107.540001</v>
      </c>
      <c r="F215" s="89">
        <f t="shared" si="56"/>
        <v>-880</v>
      </c>
      <c r="G215" s="89">
        <f t="shared" si="57"/>
        <v>-886</v>
      </c>
      <c r="H215" s="89">
        <f t="shared" si="58"/>
        <v>-814</v>
      </c>
      <c r="I215" s="89">
        <f t="shared" si="59"/>
        <v>-860.32000800000003</v>
      </c>
      <c r="J215" s="89">
        <f t="shared" ref="J215" si="75">-MAX(C215:C226)*12*J$1</f>
        <v>-11914.559664</v>
      </c>
      <c r="K215" s="89">
        <f t="shared" ref="K215" si="76">-MIN(D215:D226)*12*K$1</f>
        <v>-13431</v>
      </c>
      <c r="L215" s="89">
        <f t="shared" ref="L215" si="77">L206</f>
        <v>0</v>
      </c>
    </row>
    <row r="216" spans="1:12" hidden="1" x14ac:dyDescent="0.4">
      <c r="A216" s="93" t="s">
        <v>205</v>
      </c>
      <c r="B216" s="88">
        <v>107.489998</v>
      </c>
      <c r="C216" s="88">
        <v>115.540001</v>
      </c>
      <c r="D216" s="88">
        <v>106.57</v>
      </c>
      <c r="E216" s="88">
        <v>115.230003</v>
      </c>
      <c r="F216" s="89">
        <f t="shared" ref="F216:F279" si="78">-B216*F$1</f>
        <v>-859.919984</v>
      </c>
      <c r="G216" s="89">
        <f t="shared" ref="G216:G279" si="79">-C216*G$1</f>
        <v>-924.32000800000003</v>
      </c>
      <c r="H216" s="89">
        <f t="shared" ref="H216:H279" si="80">-D216*H$1</f>
        <v>-852.56</v>
      </c>
      <c r="I216" s="89">
        <f t="shared" ref="I216:I279" si="81">-E216*I$1</f>
        <v>-921.84002399999997</v>
      </c>
      <c r="J216" s="89"/>
      <c r="K216" s="89"/>
    </row>
    <row r="217" spans="1:12" hidden="1" x14ac:dyDescent="0.4">
      <c r="A217" s="93" t="s">
        <v>206</v>
      </c>
      <c r="B217" s="88">
        <v>115.30999799999999</v>
      </c>
      <c r="C217" s="88">
        <v>118.010002</v>
      </c>
      <c r="D217" s="88">
        <v>114.220001</v>
      </c>
      <c r="E217" s="88">
        <v>116.44000200000001</v>
      </c>
      <c r="F217" s="89">
        <f t="shared" si="78"/>
        <v>-922.47998399999994</v>
      </c>
      <c r="G217" s="89">
        <f t="shared" si="79"/>
        <v>-944.080016</v>
      </c>
      <c r="H217" s="89">
        <f t="shared" si="80"/>
        <v>-913.76000799999997</v>
      </c>
      <c r="I217" s="89">
        <f t="shared" si="81"/>
        <v>-931.52001600000006</v>
      </c>
      <c r="J217" s="89"/>
      <c r="K217" s="89"/>
    </row>
    <row r="218" spans="1:12" hidden="1" x14ac:dyDescent="0.4">
      <c r="A218" s="93" t="s">
        <v>207</v>
      </c>
      <c r="B218" s="88">
        <v>116.480003</v>
      </c>
      <c r="C218" s="88">
        <v>119.220001</v>
      </c>
      <c r="D218" s="88">
        <v>113.629997</v>
      </c>
      <c r="E218" s="88">
        <v>118.720001</v>
      </c>
      <c r="F218" s="89">
        <f t="shared" si="78"/>
        <v>-931.84002399999997</v>
      </c>
      <c r="G218" s="89">
        <f t="shared" si="79"/>
        <v>-953.76000799999997</v>
      </c>
      <c r="H218" s="89">
        <f t="shared" si="80"/>
        <v>-909.03997600000002</v>
      </c>
      <c r="I218" s="89">
        <f t="shared" si="81"/>
        <v>-949.76000799999997</v>
      </c>
      <c r="J218" s="89"/>
      <c r="K218" s="89"/>
    </row>
    <row r="219" spans="1:12" hidden="1" x14ac:dyDescent="0.4">
      <c r="A219" s="93" t="s">
        <v>208</v>
      </c>
      <c r="B219" s="88">
        <v>118.57</v>
      </c>
      <c r="C219" s="88">
        <v>119.660004</v>
      </c>
      <c r="D219" s="88">
        <v>115.94000200000001</v>
      </c>
      <c r="E219" s="88">
        <v>116.989998</v>
      </c>
      <c r="F219" s="89">
        <f t="shared" si="78"/>
        <v>-948.56</v>
      </c>
      <c r="G219" s="89">
        <f t="shared" si="79"/>
        <v>-957.28003200000001</v>
      </c>
      <c r="H219" s="89">
        <f t="shared" si="80"/>
        <v>-927.52001600000006</v>
      </c>
      <c r="I219" s="89">
        <f t="shared" si="81"/>
        <v>-935.919984</v>
      </c>
      <c r="J219" s="89"/>
      <c r="K219" s="89"/>
    </row>
    <row r="220" spans="1:12" hidden="1" x14ac:dyDescent="0.4">
      <c r="A220" s="93" t="s">
        <v>209</v>
      </c>
      <c r="B220" s="88">
        <v>117.19000200000001</v>
      </c>
      <c r="C220" s="88">
        <v>119.510002</v>
      </c>
      <c r="D220" s="88">
        <v>113.449997</v>
      </c>
      <c r="E220" s="88">
        <v>117.5</v>
      </c>
      <c r="F220" s="89">
        <f t="shared" si="78"/>
        <v>-937.52001600000006</v>
      </c>
      <c r="G220" s="89">
        <f t="shared" si="79"/>
        <v>-956.080016</v>
      </c>
      <c r="H220" s="89">
        <f t="shared" si="80"/>
        <v>-907.59997599999997</v>
      </c>
      <c r="I220" s="89">
        <f t="shared" si="81"/>
        <v>-940</v>
      </c>
      <c r="J220" s="89"/>
      <c r="K220" s="89"/>
    </row>
    <row r="221" spans="1:12" hidden="1" x14ac:dyDescent="0.4">
      <c r="A221" s="93" t="s">
        <v>210</v>
      </c>
      <c r="B221" s="88">
        <v>117.459999</v>
      </c>
      <c r="C221" s="88">
        <v>121.519997</v>
      </c>
      <c r="D221" s="88">
        <v>115.220001</v>
      </c>
      <c r="E221" s="88">
        <v>118.480003</v>
      </c>
      <c r="F221" s="89">
        <f t="shared" si="78"/>
        <v>-939.67999199999997</v>
      </c>
      <c r="G221" s="89">
        <f t="shared" si="79"/>
        <v>-972.15997600000003</v>
      </c>
      <c r="H221" s="89">
        <f t="shared" si="80"/>
        <v>-921.76000799999997</v>
      </c>
      <c r="I221" s="89">
        <f t="shared" si="81"/>
        <v>-947.84002399999997</v>
      </c>
      <c r="J221" s="89"/>
      <c r="K221" s="89"/>
    </row>
    <row r="222" spans="1:12" hidden="1" x14ac:dyDescent="0.4">
      <c r="A222" s="93" t="s">
        <v>211</v>
      </c>
      <c r="B222" s="88">
        <v>119.269997</v>
      </c>
      <c r="C222" s="88">
        <v>125.91999800000001</v>
      </c>
      <c r="D222" s="88">
        <v>118.889999</v>
      </c>
      <c r="E222" s="88">
        <v>124.57</v>
      </c>
      <c r="F222" s="89">
        <f t="shared" si="78"/>
        <v>-954.15997600000003</v>
      </c>
      <c r="G222" s="89">
        <f t="shared" si="79"/>
        <v>-1007.3599840000001</v>
      </c>
      <c r="H222" s="89">
        <f t="shared" si="80"/>
        <v>-951.11999200000002</v>
      </c>
      <c r="I222" s="89">
        <f t="shared" si="81"/>
        <v>-996.56</v>
      </c>
      <c r="J222" s="89"/>
      <c r="K222" s="89"/>
    </row>
    <row r="223" spans="1:12" hidden="1" x14ac:dyDescent="0.4">
      <c r="A223" s="93" t="s">
        <v>212</v>
      </c>
      <c r="B223" s="88">
        <v>125.449997</v>
      </c>
      <c r="C223" s="88">
        <v>130.699997</v>
      </c>
      <c r="D223" s="88">
        <v>124.860001</v>
      </c>
      <c r="E223" s="88">
        <v>130.020004</v>
      </c>
      <c r="F223" s="89">
        <f t="shared" si="78"/>
        <v>-1003.599976</v>
      </c>
      <c r="G223" s="89">
        <f t="shared" si="79"/>
        <v>-1045.599976</v>
      </c>
      <c r="H223" s="89">
        <f t="shared" si="80"/>
        <v>-998.88000799999998</v>
      </c>
      <c r="I223" s="89">
        <f t="shared" si="81"/>
        <v>-1040.160032</v>
      </c>
      <c r="J223" s="89"/>
      <c r="K223" s="89"/>
    </row>
    <row r="224" spans="1:12" hidden="1" x14ac:dyDescent="0.4">
      <c r="A224" s="93" t="s">
        <v>213</v>
      </c>
      <c r="B224" s="88">
        <v>130.85000600000001</v>
      </c>
      <c r="C224" s="88">
        <v>132.740005</v>
      </c>
      <c r="D224" s="88">
        <v>129.39999399999999</v>
      </c>
      <c r="E224" s="88">
        <v>132.38000500000001</v>
      </c>
      <c r="F224" s="89">
        <f t="shared" si="78"/>
        <v>-1046.8000480000001</v>
      </c>
      <c r="G224" s="89">
        <f t="shared" si="79"/>
        <v>-1061.92004</v>
      </c>
      <c r="H224" s="89">
        <f t="shared" si="80"/>
        <v>-1035.1999519999999</v>
      </c>
      <c r="I224" s="89">
        <f t="shared" si="81"/>
        <v>-1059.0400400000001</v>
      </c>
      <c r="J224" s="89"/>
      <c r="K224" s="89"/>
    </row>
    <row r="225" spans="1:12" hidden="1" x14ac:dyDescent="0.4">
      <c r="A225" s="93" t="s">
        <v>214</v>
      </c>
      <c r="B225" s="88">
        <v>132.490005</v>
      </c>
      <c r="C225" s="88">
        <v>136.33999600000001</v>
      </c>
      <c r="D225" s="88">
        <v>130.38000500000001</v>
      </c>
      <c r="E225" s="88">
        <v>135.990005</v>
      </c>
      <c r="F225" s="89">
        <f t="shared" si="78"/>
        <v>-1059.92004</v>
      </c>
      <c r="G225" s="89">
        <f t="shared" si="79"/>
        <v>-1090.7199680000001</v>
      </c>
      <c r="H225" s="89">
        <f t="shared" si="80"/>
        <v>-1043.0400400000001</v>
      </c>
      <c r="I225" s="89">
        <f t="shared" si="81"/>
        <v>-1087.92004</v>
      </c>
      <c r="J225" s="89"/>
      <c r="K225" s="89"/>
    </row>
    <row r="226" spans="1:12" hidden="1" x14ac:dyDescent="0.4">
      <c r="A226" s="93" t="s">
        <v>215</v>
      </c>
      <c r="B226" s="88">
        <v>136.44000199999999</v>
      </c>
      <c r="C226" s="88">
        <v>141.83999600000001</v>
      </c>
      <c r="D226" s="88">
        <v>135.86999499999999</v>
      </c>
      <c r="E226" s="88">
        <v>141.28999300000001</v>
      </c>
      <c r="F226" s="89">
        <f t="shared" si="78"/>
        <v>-1091.5200159999999</v>
      </c>
      <c r="G226" s="89">
        <f t="shared" si="79"/>
        <v>-1134.7199680000001</v>
      </c>
      <c r="H226" s="89">
        <f t="shared" si="80"/>
        <v>-1086.9599599999999</v>
      </c>
      <c r="I226" s="89">
        <f t="shared" si="81"/>
        <v>-1130.3199440000001</v>
      </c>
      <c r="J226" s="89"/>
      <c r="K226" s="89"/>
    </row>
    <row r="227" spans="1:12" hidden="1" x14ac:dyDescent="0.4">
      <c r="A227" s="93" t="s">
        <v>216</v>
      </c>
      <c r="B227" s="88">
        <v>141.58000200000001</v>
      </c>
      <c r="C227" s="88">
        <v>143.89999399999999</v>
      </c>
      <c r="D227" s="88">
        <v>136.25</v>
      </c>
      <c r="E227" s="88">
        <v>137.63999899999999</v>
      </c>
      <c r="F227" s="89">
        <f t="shared" si="78"/>
        <v>-1132.6400160000001</v>
      </c>
      <c r="G227" s="89">
        <f t="shared" si="79"/>
        <v>-1151.1999519999999</v>
      </c>
      <c r="H227" s="89">
        <f t="shared" si="80"/>
        <v>-1090</v>
      </c>
      <c r="I227" s="89">
        <f t="shared" si="81"/>
        <v>-1101.1199919999999</v>
      </c>
      <c r="J227" s="89">
        <f t="shared" ref="J227" si="82">-MAX(C227:C238)*12*J$1</f>
        <v>-14717.640587999998</v>
      </c>
      <c r="K227" s="89">
        <f t="shared" ref="K227" si="83">-MIN(D227:D238)*12*K$1</f>
        <v>-17925.600396000002</v>
      </c>
      <c r="L227" s="89">
        <f t="shared" ref="L227" si="84">L218</f>
        <v>0</v>
      </c>
    </row>
    <row r="228" spans="1:12" hidden="1" x14ac:dyDescent="0.4">
      <c r="A228" s="93" t="s">
        <v>217</v>
      </c>
      <c r="B228" s="88">
        <v>138.270004</v>
      </c>
      <c r="C228" s="88">
        <v>145.96000699999999</v>
      </c>
      <c r="D228" s="88">
        <v>135.800003</v>
      </c>
      <c r="E228" s="88">
        <v>143.229996</v>
      </c>
      <c r="F228" s="89">
        <f t="shared" si="78"/>
        <v>-1106.160032</v>
      </c>
      <c r="G228" s="89">
        <f t="shared" si="79"/>
        <v>-1167.6800559999999</v>
      </c>
      <c r="H228" s="89">
        <f t="shared" si="80"/>
        <v>-1086.400024</v>
      </c>
      <c r="I228" s="89">
        <f t="shared" si="81"/>
        <v>-1145.839968</v>
      </c>
      <c r="J228" s="89"/>
      <c r="K228" s="89"/>
    </row>
    <row r="229" spans="1:12" hidden="1" x14ac:dyDescent="0.4">
      <c r="A229" s="93" t="s">
        <v>218</v>
      </c>
      <c r="B229" s="88">
        <v>143.720001</v>
      </c>
      <c r="C229" s="88">
        <v>146.21000699999999</v>
      </c>
      <c r="D229" s="88">
        <v>140.179993</v>
      </c>
      <c r="E229" s="88">
        <v>146.199997</v>
      </c>
      <c r="F229" s="89">
        <f t="shared" si="78"/>
        <v>-1149.760008</v>
      </c>
      <c r="G229" s="89">
        <f t="shared" si="79"/>
        <v>-1169.6800559999999</v>
      </c>
      <c r="H229" s="89">
        <f t="shared" si="80"/>
        <v>-1121.439944</v>
      </c>
      <c r="I229" s="89">
        <f t="shared" si="81"/>
        <v>-1169.599976</v>
      </c>
      <c r="J229" s="89"/>
      <c r="K229" s="89"/>
    </row>
    <row r="230" spans="1:12" hidden="1" x14ac:dyDescent="0.4">
      <c r="A230" s="93" t="s">
        <v>219</v>
      </c>
      <c r="B230" s="88">
        <v>146.38999899999999</v>
      </c>
      <c r="C230" s="88">
        <v>146.58999600000001</v>
      </c>
      <c r="D230" s="88">
        <v>142.10000600000001</v>
      </c>
      <c r="E230" s="88">
        <v>145.449997</v>
      </c>
      <c r="F230" s="89">
        <f t="shared" si="78"/>
        <v>-1171.1199919999999</v>
      </c>
      <c r="G230" s="89">
        <f t="shared" si="79"/>
        <v>-1172.7199680000001</v>
      </c>
      <c r="H230" s="89">
        <f t="shared" si="80"/>
        <v>-1136.8000480000001</v>
      </c>
      <c r="I230" s="89">
        <f t="shared" si="81"/>
        <v>-1163.599976</v>
      </c>
      <c r="J230" s="89"/>
      <c r="K230" s="89"/>
    </row>
    <row r="231" spans="1:12" hidden="1" x14ac:dyDescent="0.4">
      <c r="A231" s="93" t="s">
        <v>220</v>
      </c>
      <c r="B231" s="88">
        <v>145.66999799999999</v>
      </c>
      <c r="C231" s="88">
        <v>152.36999499999999</v>
      </c>
      <c r="D231" s="88">
        <v>144.929993</v>
      </c>
      <c r="E231" s="88">
        <v>152.14999399999999</v>
      </c>
      <c r="F231" s="89">
        <f t="shared" si="78"/>
        <v>-1165.3599839999999</v>
      </c>
      <c r="G231" s="89">
        <f t="shared" si="79"/>
        <v>-1218.9599599999999</v>
      </c>
      <c r="H231" s="89">
        <f t="shared" si="80"/>
        <v>-1159.439944</v>
      </c>
      <c r="I231" s="89">
        <f t="shared" si="81"/>
        <v>-1217.1999519999999</v>
      </c>
      <c r="J231" s="89"/>
      <c r="K231" s="89"/>
    </row>
    <row r="232" spans="1:12" hidden="1" x14ac:dyDescent="0.4">
      <c r="A232" s="93" t="s">
        <v>221</v>
      </c>
      <c r="B232" s="88">
        <v>152.759995</v>
      </c>
      <c r="C232" s="88">
        <v>156.69000199999999</v>
      </c>
      <c r="D232" s="88">
        <v>150.770004</v>
      </c>
      <c r="E232" s="88">
        <v>155.14999399999999</v>
      </c>
      <c r="F232" s="89">
        <f t="shared" si="78"/>
        <v>-1222.07996</v>
      </c>
      <c r="G232" s="89">
        <f t="shared" si="79"/>
        <v>-1253.5200159999999</v>
      </c>
      <c r="H232" s="89">
        <f t="shared" si="80"/>
        <v>-1206.160032</v>
      </c>
      <c r="I232" s="89">
        <f t="shared" si="81"/>
        <v>-1241.1999519999999</v>
      </c>
      <c r="J232" s="89"/>
      <c r="K232" s="89"/>
    </row>
    <row r="233" spans="1:12" hidden="1" x14ac:dyDescent="0.4">
      <c r="A233" s="93" t="s">
        <v>222</v>
      </c>
      <c r="B233" s="88">
        <v>154.199997</v>
      </c>
      <c r="C233" s="88">
        <v>158.770004</v>
      </c>
      <c r="D233" s="88">
        <v>152.05999800000001</v>
      </c>
      <c r="E233" s="88">
        <v>155.759995</v>
      </c>
      <c r="F233" s="89">
        <f t="shared" si="78"/>
        <v>-1233.599976</v>
      </c>
      <c r="G233" s="89">
        <f t="shared" si="79"/>
        <v>-1270.160032</v>
      </c>
      <c r="H233" s="89">
        <f t="shared" si="80"/>
        <v>-1216.4799840000001</v>
      </c>
      <c r="I233" s="89">
        <f t="shared" si="81"/>
        <v>-1246.07996</v>
      </c>
      <c r="J233" s="89"/>
      <c r="K233" s="89"/>
    </row>
    <row r="234" spans="1:12" hidden="1" x14ac:dyDescent="0.4">
      <c r="A234" s="93" t="s">
        <v>223</v>
      </c>
      <c r="B234" s="88">
        <v>156.55999800000001</v>
      </c>
      <c r="C234" s="88">
        <v>170.949997</v>
      </c>
      <c r="D234" s="88">
        <v>156.16999799999999</v>
      </c>
      <c r="E234" s="88">
        <v>169.39999399999999</v>
      </c>
      <c r="F234" s="89">
        <f t="shared" si="78"/>
        <v>-1252.4799840000001</v>
      </c>
      <c r="G234" s="89">
        <f t="shared" si="79"/>
        <v>-1367.599976</v>
      </c>
      <c r="H234" s="89">
        <f t="shared" si="80"/>
        <v>-1249.3599839999999</v>
      </c>
      <c r="I234" s="89">
        <f t="shared" si="81"/>
        <v>-1355.1999519999999</v>
      </c>
      <c r="J234" s="89"/>
      <c r="K234" s="89"/>
    </row>
    <row r="235" spans="1:12" hidden="1" x14ac:dyDescent="0.4">
      <c r="A235" s="93" t="s">
        <v>224</v>
      </c>
      <c r="B235" s="88">
        <v>168.10000600000001</v>
      </c>
      <c r="C235" s="88">
        <v>170.729996</v>
      </c>
      <c r="D235" s="88">
        <v>150.13000500000001</v>
      </c>
      <c r="E235" s="88">
        <v>167.21000699999999</v>
      </c>
      <c r="F235" s="89">
        <f t="shared" si="78"/>
        <v>-1344.8000480000001</v>
      </c>
      <c r="G235" s="89">
        <f t="shared" si="79"/>
        <v>-1365.839968</v>
      </c>
      <c r="H235" s="89">
        <f t="shared" si="80"/>
        <v>-1201.0400400000001</v>
      </c>
      <c r="I235" s="89">
        <f t="shared" si="81"/>
        <v>-1337.6800559999999</v>
      </c>
      <c r="J235" s="89"/>
      <c r="K235" s="89"/>
    </row>
    <row r="236" spans="1:12" hidden="1" x14ac:dyDescent="0.4">
      <c r="A236" s="93" t="s">
        <v>225</v>
      </c>
      <c r="B236" s="88">
        <v>167.300003</v>
      </c>
      <c r="C236" s="88">
        <v>175.21000699999999</v>
      </c>
      <c r="D236" s="88">
        <v>156.03999300000001</v>
      </c>
      <c r="E236" s="88">
        <v>160.13000500000001</v>
      </c>
      <c r="F236" s="89">
        <f t="shared" si="78"/>
        <v>-1338.400024</v>
      </c>
      <c r="G236" s="89">
        <f t="shared" si="79"/>
        <v>-1401.6800559999999</v>
      </c>
      <c r="H236" s="89">
        <f t="shared" si="80"/>
        <v>-1248.3199440000001</v>
      </c>
      <c r="I236" s="89">
        <f t="shared" si="81"/>
        <v>-1281.0400400000001</v>
      </c>
      <c r="J236" s="89"/>
      <c r="K236" s="89"/>
    </row>
    <row r="237" spans="1:12" hidden="1" x14ac:dyDescent="0.4">
      <c r="A237" s="93" t="s">
        <v>226</v>
      </c>
      <c r="B237" s="88">
        <v>158.990005</v>
      </c>
      <c r="C237" s="88">
        <v>167</v>
      </c>
      <c r="D237" s="88">
        <v>153.88000500000001</v>
      </c>
      <c r="E237" s="88">
        <v>160.94000199999999</v>
      </c>
      <c r="F237" s="89">
        <f t="shared" si="78"/>
        <v>-1271.92004</v>
      </c>
      <c r="G237" s="89">
        <f t="shared" si="79"/>
        <v>-1336</v>
      </c>
      <c r="H237" s="89">
        <f t="shared" si="80"/>
        <v>-1231.0400400000001</v>
      </c>
      <c r="I237" s="89">
        <f t="shared" si="81"/>
        <v>-1287.5200159999999</v>
      </c>
      <c r="J237" s="89"/>
      <c r="K237" s="89"/>
    </row>
    <row r="238" spans="1:12" hidden="1" x14ac:dyDescent="0.4">
      <c r="A238" s="93" t="s">
        <v>227</v>
      </c>
      <c r="B238" s="88">
        <v>160.520004</v>
      </c>
      <c r="C238" s="88">
        <v>171.199997</v>
      </c>
      <c r="D238" s="88">
        <v>159.220001</v>
      </c>
      <c r="E238" s="88">
        <v>170.070007</v>
      </c>
      <c r="F238" s="89">
        <f t="shared" si="78"/>
        <v>-1284.160032</v>
      </c>
      <c r="G238" s="89">
        <f t="shared" si="79"/>
        <v>-1369.599976</v>
      </c>
      <c r="H238" s="89">
        <f t="shared" si="80"/>
        <v>-1273.760008</v>
      </c>
      <c r="I238" s="89">
        <f t="shared" si="81"/>
        <v>-1360.560056</v>
      </c>
      <c r="J238" s="89"/>
      <c r="K238" s="89"/>
    </row>
    <row r="239" spans="1:12" hidden="1" x14ac:dyDescent="0.4">
      <c r="A239" s="93" t="s">
        <v>228</v>
      </c>
      <c r="B239" s="88">
        <v>170.91999799999999</v>
      </c>
      <c r="C239" s="88">
        <v>177.979996</v>
      </c>
      <c r="D239" s="88">
        <v>169.16999799999999</v>
      </c>
      <c r="E239" s="88">
        <v>171.64999399999999</v>
      </c>
      <c r="F239" s="89">
        <f t="shared" si="78"/>
        <v>-1367.3599839999999</v>
      </c>
      <c r="G239" s="89">
        <f t="shared" si="79"/>
        <v>-1423.839968</v>
      </c>
      <c r="H239" s="89">
        <f t="shared" si="80"/>
        <v>-1353.3599839999999</v>
      </c>
      <c r="I239" s="89">
        <f t="shared" si="81"/>
        <v>-1373.1999519999999</v>
      </c>
      <c r="J239" s="89">
        <f t="shared" ref="J239" si="85">-MAX(C239:C250)*12*J$1</f>
        <v>-16070.880588</v>
      </c>
      <c r="K239" s="89">
        <f t="shared" ref="K239" si="86">-MIN(D239:D250)*12*K$1</f>
        <v>-18936.720923999997</v>
      </c>
      <c r="L239" s="89">
        <f t="shared" ref="L239" si="87">L230</f>
        <v>0</v>
      </c>
    </row>
    <row r="240" spans="1:12" hidden="1" x14ac:dyDescent="0.4">
      <c r="A240" s="93" t="s">
        <v>229</v>
      </c>
      <c r="B240" s="88">
        <v>170.03999300000001</v>
      </c>
      <c r="C240" s="88">
        <v>182.929993</v>
      </c>
      <c r="D240" s="88">
        <v>169.66999799999999</v>
      </c>
      <c r="E240" s="88">
        <v>176.449997</v>
      </c>
      <c r="F240" s="89">
        <f t="shared" si="78"/>
        <v>-1360.3199440000001</v>
      </c>
      <c r="G240" s="89">
        <f t="shared" si="79"/>
        <v>-1463.439944</v>
      </c>
      <c r="H240" s="89">
        <f t="shared" si="80"/>
        <v>-1357.3599839999999</v>
      </c>
      <c r="I240" s="89">
        <f t="shared" si="81"/>
        <v>-1411.599976</v>
      </c>
      <c r="J240" s="89"/>
      <c r="K240" s="89"/>
    </row>
    <row r="241" spans="1:12" hidden="1" x14ac:dyDescent="0.4">
      <c r="A241" s="93" t="s">
        <v>230</v>
      </c>
      <c r="B241" s="88">
        <v>176.86000100000001</v>
      </c>
      <c r="C241" s="88">
        <v>187.520004</v>
      </c>
      <c r="D241" s="88">
        <v>175.78999300000001</v>
      </c>
      <c r="E241" s="88">
        <v>186.64999399999999</v>
      </c>
      <c r="F241" s="89">
        <f t="shared" si="78"/>
        <v>-1414.8800080000001</v>
      </c>
      <c r="G241" s="89">
        <f t="shared" si="79"/>
        <v>-1500.160032</v>
      </c>
      <c r="H241" s="89">
        <f t="shared" si="80"/>
        <v>-1406.3199440000001</v>
      </c>
      <c r="I241" s="89">
        <f t="shared" si="81"/>
        <v>-1493.1999519999999</v>
      </c>
      <c r="J241" s="89"/>
      <c r="K241" s="89"/>
    </row>
    <row r="242" spans="1:12" hidden="1" x14ac:dyDescent="0.4">
      <c r="A242" s="93" t="s">
        <v>231</v>
      </c>
      <c r="B242" s="88">
        <v>186.08000200000001</v>
      </c>
      <c r="C242" s="88">
        <v>186.490005</v>
      </c>
      <c r="D242" s="88">
        <v>180.44000199999999</v>
      </c>
      <c r="E242" s="88">
        <v>185.78999300000001</v>
      </c>
      <c r="F242" s="89">
        <f t="shared" si="78"/>
        <v>-1488.6400160000001</v>
      </c>
      <c r="G242" s="89">
        <f t="shared" si="79"/>
        <v>-1491.92004</v>
      </c>
      <c r="H242" s="89">
        <f t="shared" si="80"/>
        <v>-1443.5200159999999</v>
      </c>
      <c r="I242" s="89">
        <f t="shared" si="81"/>
        <v>-1486.3199440000001</v>
      </c>
      <c r="J242" s="89"/>
      <c r="K242" s="89"/>
    </row>
    <row r="243" spans="1:12" hidden="1" x14ac:dyDescent="0.4">
      <c r="A243" s="93" t="s">
        <v>232</v>
      </c>
      <c r="B243" s="88">
        <v>186.86999499999999</v>
      </c>
      <c r="C243" s="88">
        <v>187.529999</v>
      </c>
      <c r="D243" s="88">
        <v>160.08999600000001</v>
      </c>
      <c r="E243" s="88">
        <v>169.820007</v>
      </c>
      <c r="F243" s="89">
        <f t="shared" si="78"/>
        <v>-1494.9599599999999</v>
      </c>
      <c r="G243" s="89">
        <f t="shared" si="79"/>
        <v>-1500.239992</v>
      </c>
      <c r="H243" s="89">
        <f t="shared" si="80"/>
        <v>-1280.7199680000001</v>
      </c>
      <c r="I243" s="89">
        <f t="shared" si="81"/>
        <v>-1358.560056</v>
      </c>
      <c r="J243" s="89"/>
      <c r="K243" s="89"/>
    </row>
    <row r="244" spans="1:12" hidden="1" x14ac:dyDescent="0.4">
      <c r="A244" s="93" t="s">
        <v>233</v>
      </c>
      <c r="B244" s="88">
        <v>170.070007</v>
      </c>
      <c r="C244" s="88">
        <v>175.58000200000001</v>
      </c>
      <c r="D244" s="88">
        <v>157.13000500000001</v>
      </c>
      <c r="E244" s="88">
        <v>169.36999499999999</v>
      </c>
      <c r="F244" s="89">
        <f t="shared" si="78"/>
        <v>-1360.560056</v>
      </c>
      <c r="G244" s="89">
        <f t="shared" si="79"/>
        <v>-1404.6400160000001</v>
      </c>
      <c r="H244" s="89">
        <f t="shared" si="80"/>
        <v>-1257.0400400000001</v>
      </c>
      <c r="I244" s="89">
        <f t="shared" si="81"/>
        <v>-1354.9599599999999</v>
      </c>
      <c r="J244" s="89"/>
      <c r="K244" s="89"/>
    </row>
    <row r="245" spans="1:12" hidden="1" x14ac:dyDescent="0.4">
      <c r="A245" s="93" t="s">
        <v>234</v>
      </c>
      <c r="B245" s="88">
        <v>173.11000100000001</v>
      </c>
      <c r="C245" s="88">
        <v>173.30999800000001</v>
      </c>
      <c r="D245" s="88">
        <v>143.46000699999999</v>
      </c>
      <c r="E245" s="88">
        <v>154.259995</v>
      </c>
      <c r="F245" s="89">
        <f t="shared" si="78"/>
        <v>-1384.8800080000001</v>
      </c>
      <c r="G245" s="89">
        <f t="shared" si="79"/>
        <v>-1386.4799840000001</v>
      </c>
      <c r="H245" s="89">
        <f t="shared" si="80"/>
        <v>-1147.6800559999999</v>
      </c>
      <c r="I245" s="89">
        <f t="shared" si="81"/>
        <v>-1234.07996</v>
      </c>
      <c r="J245" s="89"/>
      <c r="K245" s="89"/>
    </row>
    <row r="246" spans="1:12" hidden="1" x14ac:dyDescent="0.4">
      <c r="A246" s="93" t="s">
        <v>235</v>
      </c>
      <c r="B246" s="88">
        <v>150.990005</v>
      </c>
      <c r="C246" s="88">
        <v>168.990005</v>
      </c>
      <c r="D246" s="88">
        <v>149.490005</v>
      </c>
      <c r="E246" s="88">
        <v>168.16000399999999</v>
      </c>
      <c r="F246" s="89">
        <f t="shared" si="78"/>
        <v>-1207.92004</v>
      </c>
      <c r="G246" s="89">
        <f t="shared" si="79"/>
        <v>-1351.92004</v>
      </c>
      <c r="H246" s="89">
        <f t="shared" si="80"/>
        <v>-1195.92004</v>
      </c>
      <c r="I246" s="89">
        <f t="shared" si="81"/>
        <v>-1345.2800319999999</v>
      </c>
      <c r="J246" s="89"/>
      <c r="K246" s="89"/>
    </row>
    <row r="247" spans="1:12" hidden="1" x14ac:dyDescent="0.4">
      <c r="A247" s="93" t="s">
        <v>236</v>
      </c>
      <c r="B247" s="88">
        <v>167.33000200000001</v>
      </c>
      <c r="C247" s="88">
        <v>174.66000399999999</v>
      </c>
      <c r="D247" s="88">
        <v>166.570007</v>
      </c>
      <c r="E247" s="88">
        <v>173.19000199999999</v>
      </c>
      <c r="F247" s="89">
        <f t="shared" si="78"/>
        <v>-1338.6400160000001</v>
      </c>
      <c r="G247" s="89">
        <f t="shared" si="79"/>
        <v>-1397.2800319999999</v>
      </c>
      <c r="H247" s="89">
        <f t="shared" si="80"/>
        <v>-1332.560056</v>
      </c>
      <c r="I247" s="89">
        <f t="shared" si="81"/>
        <v>-1385.5200159999999</v>
      </c>
      <c r="J247" s="89"/>
      <c r="K247" s="89"/>
    </row>
    <row r="248" spans="1:12" hidden="1" x14ac:dyDescent="0.4">
      <c r="A248" s="93" t="s">
        <v>237</v>
      </c>
      <c r="B248" s="88">
        <v>174.44000199999999</v>
      </c>
      <c r="C248" s="88">
        <v>182.83000200000001</v>
      </c>
      <c r="D248" s="88">
        <v>169.33999600000001</v>
      </c>
      <c r="E248" s="88">
        <v>179.66000399999999</v>
      </c>
      <c r="F248" s="89">
        <f t="shared" si="78"/>
        <v>-1395.5200159999999</v>
      </c>
      <c r="G248" s="89">
        <f t="shared" si="79"/>
        <v>-1462.6400160000001</v>
      </c>
      <c r="H248" s="89">
        <f t="shared" si="80"/>
        <v>-1354.7199680000001</v>
      </c>
      <c r="I248" s="89">
        <f t="shared" si="81"/>
        <v>-1437.2800319999999</v>
      </c>
      <c r="J248" s="89"/>
      <c r="K248" s="89"/>
    </row>
    <row r="249" spans="1:12" hidden="1" x14ac:dyDescent="0.4">
      <c r="A249" s="93" t="s">
        <v>238</v>
      </c>
      <c r="B249" s="88">
        <v>181.509995</v>
      </c>
      <c r="C249" s="88">
        <v>191.320007</v>
      </c>
      <c r="D249" s="88">
        <v>180.770004</v>
      </c>
      <c r="E249" s="88">
        <v>189.53999300000001</v>
      </c>
      <c r="F249" s="89">
        <f t="shared" si="78"/>
        <v>-1452.07996</v>
      </c>
      <c r="G249" s="89">
        <f t="shared" si="79"/>
        <v>-1530.560056</v>
      </c>
      <c r="H249" s="89">
        <f t="shared" si="80"/>
        <v>-1446.160032</v>
      </c>
      <c r="I249" s="89">
        <f t="shared" si="81"/>
        <v>-1516.3199440000001</v>
      </c>
      <c r="J249" s="89"/>
      <c r="K249" s="89"/>
    </row>
    <row r="250" spans="1:12" hidden="1" x14ac:dyDescent="0.4">
      <c r="A250" s="93" t="s">
        <v>239</v>
      </c>
      <c r="B250" s="88">
        <v>190.779999</v>
      </c>
      <c r="C250" s="88">
        <v>191.320007</v>
      </c>
      <c r="D250" s="88">
        <v>173.86999499999999</v>
      </c>
      <c r="E250" s="88">
        <v>173.949997</v>
      </c>
      <c r="F250" s="89">
        <f t="shared" si="78"/>
        <v>-1526.239992</v>
      </c>
      <c r="G250" s="89">
        <f t="shared" si="79"/>
        <v>-1530.560056</v>
      </c>
      <c r="H250" s="89">
        <f t="shared" si="80"/>
        <v>-1390.9599599999999</v>
      </c>
      <c r="I250" s="89">
        <f t="shared" si="81"/>
        <v>-1391.599976</v>
      </c>
      <c r="J250" s="89"/>
      <c r="K250" s="89"/>
    </row>
    <row r="251" spans="1:12" hidden="1" x14ac:dyDescent="0.4">
      <c r="A251" s="93" t="s">
        <v>240</v>
      </c>
      <c r="B251" s="88">
        <v>173.479996</v>
      </c>
      <c r="C251" s="88">
        <v>189.770004</v>
      </c>
      <c r="D251" s="88">
        <v>169.270004</v>
      </c>
      <c r="E251" s="88">
        <v>186.740005</v>
      </c>
      <c r="F251" s="89">
        <f t="shared" si="78"/>
        <v>-1387.839968</v>
      </c>
      <c r="G251" s="89">
        <f t="shared" si="79"/>
        <v>-1518.160032</v>
      </c>
      <c r="H251" s="89">
        <f t="shared" si="80"/>
        <v>-1354.160032</v>
      </c>
      <c r="I251" s="89">
        <f t="shared" si="81"/>
        <v>-1493.92004</v>
      </c>
      <c r="J251" s="89">
        <f t="shared" ref="J251" si="88">-MAX(C251:C262)*12*J$1</f>
        <v>-19947.480083999999</v>
      </c>
      <c r="K251" s="89">
        <f t="shared" ref="K251" si="89">-MIN(D251:D262)*12*K$1</f>
        <v>-21770.759076000002</v>
      </c>
      <c r="L251" s="89">
        <f t="shared" ref="L251" si="90">L242</f>
        <v>0</v>
      </c>
    </row>
    <row r="252" spans="1:12" hidden="1" x14ac:dyDescent="0.4">
      <c r="A252" s="93" t="s">
        <v>241</v>
      </c>
      <c r="B252" s="88">
        <v>190.320007</v>
      </c>
      <c r="C252" s="88">
        <v>195.550003</v>
      </c>
      <c r="D252" s="88">
        <v>188.38000500000001</v>
      </c>
      <c r="E252" s="88">
        <v>191.10000600000001</v>
      </c>
      <c r="F252" s="89">
        <f t="shared" si="78"/>
        <v>-1522.560056</v>
      </c>
      <c r="G252" s="89">
        <f t="shared" si="79"/>
        <v>-1564.400024</v>
      </c>
      <c r="H252" s="89">
        <f t="shared" si="80"/>
        <v>-1507.0400400000001</v>
      </c>
      <c r="I252" s="89">
        <f t="shared" si="81"/>
        <v>-1528.8000480000001</v>
      </c>
      <c r="J252" s="89"/>
      <c r="K252" s="89"/>
    </row>
    <row r="253" spans="1:12" hidden="1" x14ac:dyDescent="0.4">
      <c r="A253" s="93" t="s">
        <v>242</v>
      </c>
      <c r="B253" s="88">
        <v>191.429993</v>
      </c>
      <c r="C253" s="88">
        <v>194.979996</v>
      </c>
      <c r="D253" s="88">
        <v>179.199997</v>
      </c>
      <c r="E253" s="88">
        <v>187.470001</v>
      </c>
      <c r="F253" s="89">
        <f t="shared" si="78"/>
        <v>-1531.439944</v>
      </c>
      <c r="G253" s="89">
        <f t="shared" si="79"/>
        <v>-1559.839968</v>
      </c>
      <c r="H253" s="89">
        <f t="shared" si="80"/>
        <v>-1433.599976</v>
      </c>
      <c r="I253" s="89">
        <f t="shared" si="81"/>
        <v>-1499.760008</v>
      </c>
      <c r="J253" s="89"/>
      <c r="K253" s="89"/>
    </row>
    <row r="254" spans="1:12" hidden="1" x14ac:dyDescent="0.4">
      <c r="A254" s="93" t="s">
        <v>243</v>
      </c>
      <c r="B254" s="88">
        <v>186.220001</v>
      </c>
      <c r="C254" s="88">
        <v>194.71000699999999</v>
      </c>
      <c r="D254" s="88">
        <v>185.029999</v>
      </c>
      <c r="E254" s="88">
        <v>188.80999800000001</v>
      </c>
      <c r="F254" s="89">
        <f t="shared" si="78"/>
        <v>-1489.760008</v>
      </c>
      <c r="G254" s="89">
        <f t="shared" si="79"/>
        <v>-1557.6800559999999</v>
      </c>
      <c r="H254" s="89">
        <f t="shared" si="80"/>
        <v>-1480.239992</v>
      </c>
      <c r="I254" s="89">
        <f t="shared" si="81"/>
        <v>-1510.4799840000001</v>
      </c>
      <c r="J254" s="89"/>
      <c r="K254" s="89"/>
    </row>
    <row r="255" spans="1:12" hidden="1" x14ac:dyDescent="0.4">
      <c r="A255" s="93" t="s">
        <v>244</v>
      </c>
      <c r="B255" s="88">
        <v>189.5</v>
      </c>
      <c r="C255" s="88">
        <v>197.83000200000001</v>
      </c>
      <c r="D255" s="88">
        <v>181.820007</v>
      </c>
      <c r="E255" s="88">
        <v>197.08000200000001</v>
      </c>
      <c r="F255" s="89">
        <f t="shared" si="78"/>
        <v>-1516</v>
      </c>
      <c r="G255" s="89">
        <f t="shared" si="79"/>
        <v>-1582.6400160000001</v>
      </c>
      <c r="H255" s="89">
        <f t="shared" si="80"/>
        <v>-1454.560056</v>
      </c>
      <c r="I255" s="89">
        <f t="shared" si="81"/>
        <v>-1576.6400160000001</v>
      </c>
      <c r="J255" s="89"/>
      <c r="K255" s="89"/>
    </row>
    <row r="256" spans="1:12" hidden="1" x14ac:dyDescent="0.4">
      <c r="A256" s="93" t="s">
        <v>245</v>
      </c>
      <c r="B256" s="88">
        <v>197.929993</v>
      </c>
      <c r="C256" s="88">
        <v>206.050003</v>
      </c>
      <c r="D256" s="88">
        <v>197.63000500000001</v>
      </c>
      <c r="E256" s="88">
        <v>205.10000600000001</v>
      </c>
      <c r="F256" s="89">
        <f t="shared" si="78"/>
        <v>-1583.439944</v>
      </c>
      <c r="G256" s="89">
        <f t="shared" si="79"/>
        <v>-1648.400024</v>
      </c>
      <c r="H256" s="89">
        <f t="shared" si="80"/>
        <v>-1581.0400400000001</v>
      </c>
      <c r="I256" s="89">
        <f t="shared" si="81"/>
        <v>-1640.8000480000001</v>
      </c>
      <c r="J256" s="89"/>
      <c r="K256" s="89"/>
    </row>
    <row r="257" spans="1:12" hidden="1" x14ac:dyDescent="0.4">
      <c r="A257" s="93" t="s">
        <v>246</v>
      </c>
      <c r="B257" s="88">
        <v>205.11000100000001</v>
      </c>
      <c r="C257" s="88">
        <v>214.55999800000001</v>
      </c>
      <c r="D257" s="88">
        <v>199.229996</v>
      </c>
      <c r="E257" s="88">
        <v>212.61000100000001</v>
      </c>
      <c r="F257" s="89">
        <f t="shared" si="78"/>
        <v>-1640.8800080000001</v>
      </c>
      <c r="G257" s="89">
        <f t="shared" si="79"/>
        <v>-1716.4799840000001</v>
      </c>
      <c r="H257" s="89">
        <f t="shared" si="80"/>
        <v>-1593.839968</v>
      </c>
      <c r="I257" s="89">
        <f t="shared" si="81"/>
        <v>-1700.8800080000001</v>
      </c>
      <c r="J257" s="89"/>
      <c r="K257" s="89"/>
    </row>
    <row r="258" spans="1:12" hidden="1" x14ac:dyDescent="0.4">
      <c r="A258" s="93" t="s">
        <v>247</v>
      </c>
      <c r="B258" s="88">
        <v>214.39999399999999</v>
      </c>
      <c r="C258" s="88">
        <v>225.88000500000001</v>
      </c>
      <c r="D258" s="88">
        <v>212.240005</v>
      </c>
      <c r="E258" s="88">
        <v>219.070007</v>
      </c>
      <c r="F258" s="89">
        <f t="shared" si="78"/>
        <v>-1715.1999519999999</v>
      </c>
      <c r="G258" s="89">
        <f t="shared" si="79"/>
        <v>-1807.0400400000001</v>
      </c>
      <c r="H258" s="89">
        <f t="shared" si="80"/>
        <v>-1697.92004</v>
      </c>
      <c r="I258" s="89">
        <f t="shared" si="81"/>
        <v>-1752.560056</v>
      </c>
      <c r="J258" s="89"/>
      <c r="K258" s="89"/>
    </row>
    <row r="259" spans="1:12" hidden="1" x14ac:dyDescent="0.4">
      <c r="A259" s="93" t="s">
        <v>248</v>
      </c>
      <c r="B259" s="88">
        <v>220.13999899999999</v>
      </c>
      <c r="C259" s="88">
        <v>237.470001</v>
      </c>
      <c r="D259" s="88">
        <v>198.16999799999999</v>
      </c>
      <c r="E259" s="88">
        <v>205.800003</v>
      </c>
      <c r="F259" s="89">
        <f t="shared" si="78"/>
        <v>-1761.1199919999999</v>
      </c>
      <c r="G259" s="89">
        <f t="shared" si="79"/>
        <v>-1899.760008</v>
      </c>
      <c r="H259" s="89">
        <f t="shared" si="80"/>
        <v>-1585.3599839999999</v>
      </c>
      <c r="I259" s="89">
        <f t="shared" si="81"/>
        <v>-1646.400024</v>
      </c>
      <c r="J259" s="89"/>
      <c r="K259" s="89"/>
    </row>
    <row r="260" spans="1:12" hidden="1" x14ac:dyDescent="0.4">
      <c r="A260" s="93" t="s">
        <v>249</v>
      </c>
      <c r="B260" s="88">
        <v>208.88000500000001</v>
      </c>
      <c r="C260" s="88">
        <v>219.61000100000001</v>
      </c>
      <c r="D260" s="88">
        <v>164.929993</v>
      </c>
      <c r="E260" s="88">
        <v>190.39999399999999</v>
      </c>
      <c r="F260" s="89">
        <f t="shared" si="78"/>
        <v>-1671.0400400000001</v>
      </c>
      <c r="G260" s="89">
        <f t="shared" si="79"/>
        <v>-1756.8800080000001</v>
      </c>
      <c r="H260" s="89">
        <f t="shared" si="80"/>
        <v>-1319.439944</v>
      </c>
      <c r="I260" s="89">
        <f t="shared" si="81"/>
        <v>-1523.1999519999999</v>
      </c>
      <c r="J260" s="89"/>
      <c r="K260" s="89"/>
    </row>
    <row r="261" spans="1:12" hidden="1" x14ac:dyDescent="0.4">
      <c r="A261" s="93" t="s">
        <v>250</v>
      </c>
      <c r="B261" s="88">
        <v>184.770004</v>
      </c>
      <c r="C261" s="88">
        <v>220.03999300000001</v>
      </c>
      <c r="D261" s="88">
        <v>180.86000100000001</v>
      </c>
      <c r="E261" s="88">
        <v>218.91000399999999</v>
      </c>
      <c r="F261" s="89">
        <f t="shared" si="78"/>
        <v>-1478.160032</v>
      </c>
      <c r="G261" s="89">
        <f t="shared" si="79"/>
        <v>-1760.3199440000001</v>
      </c>
      <c r="H261" s="89">
        <f t="shared" si="80"/>
        <v>-1446.8800080000001</v>
      </c>
      <c r="I261" s="89">
        <f t="shared" si="81"/>
        <v>-1751.2800319999999</v>
      </c>
      <c r="J261" s="89"/>
      <c r="K261" s="89"/>
    </row>
    <row r="262" spans="1:12" hidden="1" x14ac:dyDescent="0.4">
      <c r="A262" s="93" t="s">
        <v>251</v>
      </c>
      <c r="B262" s="88">
        <v>214.5</v>
      </c>
      <c r="C262" s="88">
        <v>233.60000600000001</v>
      </c>
      <c r="D262" s="88">
        <v>211.11999499999999</v>
      </c>
      <c r="E262" s="88">
        <v>233.36000100000001</v>
      </c>
      <c r="F262" s="89">
        <f t="shared" si="78"/>
        <v>-1716</v>
      </c>
      <c r="G262" s="89">
        <f t="shared" si="79"/>
        <v>-1868.8000480000001</v>
      </c>
      <c r="H262" s="89">
        <f t="shared" si="80"/>
        <v>-1688.9599599999999</v>
      </c>
      <c r="I262" s="89">
        <f t="shared" si="81"/>
        <v>-1866.8800080000001</v>
      </c>
      <c r="J262" s="89"/>
      <c r="K262" s="89"/>
    </row>
    <row r="263" spans="1:12" hidden="1" x14ac:dyDescent="0.4">
      <c r="A263" s="93" t="s">
        <v>252</v>
      </c>
      <c r="B263" s="88">
        <v>232.46000699999999</v>
      </c>
      <c r="C263" s="88">
        <v>251.14999399999999</v>
      </c>
      <c r="D263" s="88">
        <v>231.470001</v>
      </c>
      <c r="E263" s="88">
        <v>247.60000600000001</v>
      </c>
      <c r="F263" s="89">
        <f t="shared" si="78"/>
        <v>-1859.6800559999999</v>
      </c>
      <c r="G263" s="89">
        <f t="shared" si="79"/>
        <v>-2009.1999519999999</v>
      </c>
      <c r="H263" s="89">
        <f t="shared" si="80"/>
        <v>-1851.760008</v>
      </c>
      <c r="I263" s="89">
        <f t="shared" si="81"/>
        <v>-1980.8000480000001</v>
      </c>
      <c r="J263" s="89">
        <f t="shared" ref="J263" si="91">-MAX(C263:C274)*12*J$1</f>
        <v>-28795.198991999998</v>
      </c>
      <c r="K263" s="89">
        <f t="shared" ref="K263" si="92">-MIN(D263:D274)*12*K$1</f>
        <v>-30554.040131999998</v>
      </c>
      <c r="L263" s="89">
        <f t="shared" ref="L263" si="93">L254</f>
        <v>0</v>
      </c>
    </row>
    <row r="264" spans="1:12" hidden="1" x14ac:dyDescent="0.4">
      <c r="A264" s="93" t="s">
        <v>253</v>
      </c>
      <c r="B264" s="88">
        <v>247.63999899999999</v>
      </c>
      <c r="C264" s="88">
        <v>269.790009</v>
      </c>
      <c r="D264" s="88">
        <v>247.08000200000001</v>
      </c>
      <c r="E264" s="88">
        <v>265.790009</v>
      </c>
      <c r="F264" s="89">
        <f t="shared" si="78"/>
        <v>-1981.1199919999999</v>
      </c>
      <c r="G264" s="89">
        <f t="shared" si="79"/>
        <v>-2158.320072</v>
      </c>
      <c r="H264" s="89">
        <f t="shared" si="80"/>
        <v>-1976.6400160000001</v>
      </c>
      <c r="I264" s="89">
        <f t="shared" si="81"/>
        <v>-2126.320072</v>
      </c>
      <c r="J264" s="89"/>
      <c r="K264" s="89"/>
    </row>
    <row r="265" spans="1:12" hidden="1" x14ac:dyDescent="0.4">
      <c r="A265" s="93" t="s">
        <v>254</v>
      </c>
      <c r="B265" s="88">
        <v>268</v>
      </c>
      <c r="C265" s="88">
        <v>296.75</v>
      </c>
      <c r="D265" s="88">
        <v>264.63000499999998</v>
      </c>
      <c r="E265" s="88">
        <v>294.88000499999998</v>
      </c>
      <c r="F265" s="89">
        <f t="shared" si="78"/>
        <v>-2144</v>
      </c>
      <c r="G265" s="89">
        <f t="shared" si="79"/>
        <v>-2374</v>
      </c>
      <c r="H265" s="89">
        <f t="shared" si="80"/>
        <v>-2117.0400399999999</v>
      </c>
      <c r="I265" s="89">
        <f t="shared" si="81"/>
        <v>-2359.0400399999999</v>
      </c>
      <c r="J265" s="89"/>
      <c r="K265" s="89"/>
    </row>
    <row r="266" spans="1:12" hidden="1" x14ac:dyDescent="0.4">
      <c r="A266" s="93" t="s">
        <v>255</v>
      </c>
      <c r="B266" s="88">
        <v>297.61999500000002</v>
      </c>
      <c r="C266" s="88">
        <v>303.5</v>
      </c>
      <c r="D266" s="88">
        <v>260.10998499999999</v>
      </c>
      <c r="E266" s="88">
        <v>277.83999599999999</v>
      </c>
      <c r="F266" s="89">
        <f t="shared" si="78"/>
        <v>-2380.9599600000001</v>
      </c>
      <c r="G266" s="89">
        <f t="shared" si="79"/>
        <v>-2428</v>
      </c>
      <c r="H266" s="89">
        <f t="shared" si="80"/>
        <v>-2080.87988</v>
      </c>
      <c r="I266" s="89">
        <f t="shared" si="81"/>
        <v>-2222.7199679999999</v>
      </c>
      <c r="J266" s="89"/>
      <c r="K266" s="89"/>
    </row>
    <row r="267" spans="1:12" hidden="1" x14ac:dyDescent="0.4">
      <c r="A267" s="93" t="s">
        <v>256</v>
      </c>
      <c r="B267" s="88">
        <v>281.790009</v>
      </c>
      <c r="C267" s="88">
        <v>297.459991</v>
      </c>
      <c r="D267" s="88">
        <v>267.07000699999998</v>
      </c>
      <c r="E267" s="88">
        <v>269.38000499999998</v>
      </c>
      <c r="F267" s="89">
        <f t="shared" si="78"/>
        <v>-2254.320072</v>
      </c>
      <c r="G267" s="89">
        <f t="shared" si="79"/>
        <v>-2379.679928</v>
      </c>
      <c r="H267" s="89">
        <f t="shared" si="80"/>
        <v>-2136.5600559999998</v>
      </c>
      <c r="I267" s="89">
        <f t="shared" si="81"/>
        <v>-2155.0400399999999</v>
      </c>
      <c r="J267" s="89"/>
      <c r="K267" s="89"/>
    </row>
    <row r="268" spans="1:12" hidden="1" x14ac:dyDescent="0.4">
      <c r="A268" s="93" t="s">
        <v>257</v>
      </c>
      <c r="B268" s="88">
        <v>271.85000600000001</v>
      </c>
      <c r="C268" s="88">
        <v>300.17001299999998</v>
      </c>
      <c r="D268" s="88">
        <v>266.97000100000002</v>
      </c>
      <c r="E268" s="88">
        <v>299.61999500000002</v>
      </c>
      <c r="F268" s="89">
        <f t="shared" si="78"/>
        <v>-2174.8000480000001</v>
      </c>
      <c r="G268" s="89">
        <f t="shared" si="79"/>
        <v>-2401.3601039999999</v>
      </c>
      <c r="H268" s="89">
        <f t="shared" si="80"/>
        <v>-2135.7600080000002</v>
      </c>
      <c r="I268" s="89">
        <f t="shared" si="81"/>
        <v>-2396.9599600000001</v>
      </c>
      <c r="J268" s="89"/>
      <c r="K268" s="89"/>
    </row>
    <row r="269" spans="1:12" hidden="1" x14ac:dyDescent="0.4">
      <c r="A269" s="93" t="s">
        <v>258</v>
      </c>
      <c r="B269" s="88">
        <v>301.97000100000002</v>
      </c>
      <c r="C269" s="88">
        <v>314.69000199999999</v>
      </c>
      <c r="D269" s="88">
        <v>298.08999599999999</v>
      </c>
      <c r="E269" s="88">
        <v>313.73998999999998</v>
      </c>
      <c r="F269" s="89">
        <f t="shared" si="78"/>
        <v>-2415.7600080000002</v>
      </c>
      <c r="G269" s="89">
        <f t="shared" si="79"/>
        <v>-2517.5200159999999</v>
      </c>
      <c r="H269" s="89">
        <f t="shared" si="80"/>
        <v>-2384.7199679999999</v>
      </c>
      <c r="I269" s="89">
        <f t="shared" si="81"/>
        <v>-2509.9199199999998</v>
      </c>
      <c r="J269" s="89"/>
      <c r="K269" s="89"/>
    </row>
    <row r="270" spans="1:12" hidden="1" x14ac:dyDescent="0.4">
      <c r="A270" s="93" t="s">
        <v>259</v>
      </c>
      <c r="B270" s="88">
        <v>315.10998499999999</v>
      </c>
      <c r="C270" s="88">
        <v>330.32000699999998</v>
      </c>
      <c r="D270" s="88">
        <v>305.17999300000002</v>
      </c>
      <c r="E270" s="88">
        <v>314.55999800000001</v>
      </c>
      <c r="F270" s="89">
        <f t="shared" si="78"/>
        <v>-2520.87988</v>
      </c>
      <c r="G270" s="89">
        <f t="shared" si="79"/>
        <v>-2642.5600559999998</v>
      </c>
      <c r="H270" s="89">
        <f t="shared" si="80"/>
        <v>-2441.4399440000002</v>
      </c>
      <c r="I270" s="89">
        <f t="shared" si="81"/>
        <v>-2516.4799840000001</v>
      </c>
      <c r="J270" s="89"/>
      <c r="K270" s="89"/>
    </row>
    <row r="271" spans="1:12" hidden="1" x14ac:dyDescent="0.4">
      <c r="A271" s="93" t="s">
        <v>260</v>
      </c>
      <c r="B271" s="88">
        <v>318.10998499999999</v>
      </c>
      <c r="C271" s="88">
        <v>338.19000199999999</v>
      </c>
      <c r="D271" s="88">
        <v>310.88000499999998</v>
      </c>
      <c r="E271" s="88">
        <v>314.14001500000001</v>
      </c>
      <c r="F271" s="89">
        <f t="shared" si="78"/>
        <v>-2544.87988</v>
      </c>
      <c r="G271" s="89">
        <f t="shared" si="79"/>
        <v>-2705.5200159999999</v>
      </c>
      <c r="H271" s="89">
        <f t="shared" si="80"/>
        <v>-2487.0400399999999</v>
      </c>
      <c r="I271" s="89">
        <f t="shared" si="81"/>
        <v>-2513.12012</v>
      </c>
      <c r="J271" s="89"/>
      <c r="K271" s="89"/>
    </row>
    <row r="272" spans="1:12" hidden="1" x14ac:dyDescent="0.4">
      <c r="A272" s="93" t="s">
        <v>261</v>
      </c>
      <c r="B272" s="88">
        <v>319.26998900000001</v>
      </c>
      <c r="C272" s="88">
        <v>324.32998700000002</v>
      </c>
      <c r="D272" s="88">
        <v>297.45001200000002</v>
      </c>
      <c r="E272" s="88">
        <v>319.13000499999998</v>
      </c>
      <c r="F272" s="89">
        <f t="shared" si="78"/>
        <v>-2554.1599120000001</v>
      </c>
      <c r="G272" s="89">
        <f t="shared" si="79"/>
        <v>-2594.6398960000001</v>
      </c>
      <c r="H272" s="89">
        <f t="shared" si="80"/>
        <v>-2379.6000960000001</v>
      </c>
      <c r="I272" s="89">
        <f t="shared" si="81"/>
        <v>-2553.0400399999999</v>
      </c>
      <c r="J272" s="89"/>
      <c r="K272" s="89"/>
    </row>
    <row r="273" spans="1:12" hidden="1" x14ac:dyDescent="0.4">
      <c r="A273" s="93" t="s">
        <v>262</v>
      </c>
      <c r="B273" s="88">
        <v>323.07000699999998</v>
      </c>
      <c r="C273" s="88">
        <v>342.79998799999998</v>
      </c>
      <c r="D273" s="88">
        <v>322.80999800000001</v>
      </c>
      <c r="E273" s="88">
        <v>337.98998999999998</v>
      </c>
      <c r="F273" s="89">
        <f t="shared" si="78"/>
        <v>-2584.5600559999998</v>
      </c>
      <c r="G273" s="89">
        <f t="shared" si="79"/>
        <v>-2742.3999039999999</v>
      </c>
      <c r="H273" s="89">
        <f t="shared" si="80"/>
        <v>-2582.4799840000001</v>
      </c>
      <c r="I273" s="89">
        <f t="shared" si="81"/>
        <v>-2703.9199199999998</v>
      </c>
      <c r="J273" s="89"/>
      <c r="K273" s="89"/>
    </row>
    <row r="274" spans="1:12" hidden="1" x14ac:dyDescent="0.4">
      <c r="A274" s="93" t="s">
        <v>263</v>
      </c>
      <c r="B274" s="88">
        <v>339.23001099999999</v>
      </c>
      <c r="C274" s="88">
        <v>340</v>
      </c>
      <c r="D274" s="88">
        <v>316</v>
      </c>
      <c r="E274" s="88">
        <v>333.92999300000002</v>
      </c>
      <c r="F274" s="89">
        <f t="shared" si="78"/>
        <v>-2713.8400879999999</v>
      </c>
      <c r="G274" s="89">
        <f t="shared" si="79"/>
        <v>-2720</v>
      </c>
      <c r="H274" s="89">
        <f t="shared" si="80"/>
        <v>-2528</v>
      </c>
      <c r="I274" s="89">
        <f t="shared" si="81"/>
        <v>-2671.4399440000002</v>
      </c>
      <c r="J274" s="89"/>
      <c r="K274" s="89"/>
    </row>
    <row r="275" spans="1:12" hidden="1" x14ac:dyDescent="0.4">
      <c r="A275" s="93" t="s">
        <v>264</v>
      </c>
      <c r="B275" s="88">
        <v>335.29998799999998</v>
      </c>
      <c r="C275" s="88">
        <v>355.23001099999999</v>
      </c>
      <c r="D275" s="88">
        <v>328.27999899999998</v>
      </c>
      <c r="E275" s="88">
        <v>354.42999300000002</v>
      </c>
      <c r="F275" s="89">
        <f t="shared" si="78"/>
        <v>-2682.3999039999999</v>
      </c>
      <c r="G275" s="89">
        <f t="shared" si="79"/>
        <v>-2841.8400879999999</v>
      </c>
      <c r="H275" s="89">
        <f t="shared" si="80"/>
        <v>-2626.2399919999998</v>
      </c>
      <c r="I275" s="89">
        <f t="shared" si="81"/>
        <v>-2835.4399440000002</v>
      </c>
      <c r="J275" s="89">
        <f t="shared" ref="J275" si="94">-MAX(C275:C286)*12*J$1</f>
        <v>-34331.639244000005</v>
      </c>
      <c r="K275" s="89">
        <f t="shared" ref="K275" si="95">-MIN(D275:D286)*12*K$1</f>
        <v>-36987.718812000006</v>
      </c>
      <c r="L275" s="89">
        <f t="shared" ref="L275" si="96">L266</f>
        <v>0</v>
      </c>
    </row>
    <row r="276" spans="1:12" hidden="1" x14ac:dyDescent="0.4">
      <c r="A276" s="93" t="s">
        <v>265</v>
      </c>
      <c r="B276" s="88">
        <v>354.07000699999998</v>
      </c>
      <c r="C276" s="88">
        <v>368.89001500000001</v>
      </c>
      <c r="D276" s="88">
        <v>352.040009</v>
      </c>
      <c r="E276" s="88">
        <v>364.57000699999998</v>
      </c>
      <c r="F276" s="89">
        <f t="shared" si="78"/>
        <v>-2832.5600559999998</v>
      </c>
      <c r="G276" s="89">
        <f t="shared" si="79"/>
        <v>-2951.12012</v>
      </c>
      <c r="H276" s="89">
        <f t="shared" si="80"/>
        <v>-2816.320072</v>
      </c>
      <c r="I276" s="89">
        <f t="shared" si="81"/>
        <v>-2916.5600559999998</v>
      </c>
      <c r="J276" s="89"/>
      <c r="K276" s="89"/>
    </row>
    <row r="277" spans="1:12" hidden="1" x14ac:dyDescent="0.4">
      <c r="A277" s="93" t="s">
        <v>266</v>
      </c>
      <c r="B277" s="88">
        <v>366.27999899999998</v>
      </c>
      <c r="C277" s="88">
        <v>380.76001000000002</v>
      </c>
      <c r="D277" s="88">
        <v>359.959991</v>
      </c>
      <c r="E277" s="88">
        <v>379.95001200000002</v>
      </c>
      <c r="F277" s="89">
        <f t="shared" si="78"/>
        <v>-2930.2399919999998</v>
      </c>
      <c r="G277" s="89">
        <f t="shared" si="79"/>
        <v>-3046.0800800000002</v>
      </c>
      <c r="H277" s="89">
        <f t="shared" si="80"/>
        <v>-2879.679928</v>
      </c>
      <c r="I277" s="89">
        <f t="shared" si="81"/>
        <v>-3039.6000960000001</v>
      </c>
      <c r="J277" s="89"/>
      <c r="K277" s="89"/>
    </row>
    <row r="278" spans="1:12" hidden="1" x14ac:dyDescent="0.4">
      <c r="A278" s="93" t="s">
        <v>267</v>
      </c>
      <c r="B278" s="88">
        <v>381.040009</v>
      </c>
      <c r="C278" s="88">
        <v>382.77999899999998</v>
      </c>
      <c r="D278" s="88">
        <v>357.10000600000001</v>
      </c>
      <c r="E278" s="88">
        <v>357.959991</v>
      </c>
      <c r="F278" s="89">
        <f t="shared" si="78"/>
        <v>-3048.320072</v>
      </c>
      <c r="G278" s="89">
        <f t="shared" si="79"/>
        <v>-3062.2399919999998</v>
      </c>
      <c r="H278" s="89">
        <f t="shared" si="80"/>
        <v>-2856.8000480000001</v>
      </c>
      <c r="I278" s="89">
        <f t="shared" si="81"/>
        <v>-2863.679928</v>
      </c>
      <c r="J278" s="89"/>
      <c r="K278" s="89"/>
    </row>
    <row r="279" spans="1:12" hidden="1" x14ac:dyDescent="0.4">
      <c r="A279" s="93" t="s">
        <v>268</v>
      </c>
      <c r="B279" s="88">
        <v>358.60000600000001</v>
      </c>
      <c r="C279" s="88">
        <v>386.27999899999998</v>
      </c>
      <c r="D279" s="88">
        <v>350.32000699999998</v>
      </c>
      <c r="E279" s="88">
        <v>386.10998499999999</v>
      </c>
      <c r="F279" s="89">
        <f t="shared" si="78"/>
        <v>-2868.8000480000001</v>
      </c>
      <c r="G279" s="89">
        <f t="shared" si="79"/>
        <v>-3090.2399919999998</v>
      </c>
      <c r="H279" s="89">
        <f t="shared" si="80"/>
        <v>-2802.5600559999998</v>
      </c>
      <c r="I279" s="89">
        <f t="shared" si="81"/>
        <v>-3088.87988</v>
      </c>
      <c r="J279" s="89"/>
      <c r="K279" s="89"/>
    </row>
    <row r="280" spans="1:12" hidden="1" x14ac:dyDescent="0.4">
      <c r="A280" s="93" t="s">
        <v>269</v>
      </c>
      <c r="B280" s="88">
        <v>386.55999800000001</v>
      </c>
      <c r="C280" s="88">
        <v>408.709991</v>
      </c>
      <c r="D280" s="88">
        <v>384.42001299999998</v>
      </c>
      <c r="E280" s="88">
        <v>393.82000699999998</v>
      </c>
      <c r="F280" s="89">
        <f t="shared" ref="F280:F311" si="97">-B280*F$1</f>
        <v>-3092.4799840000001</v>
      </c>
      <c r="G280" s="89">
        <f t="shared" ref="G280:G311" si="98">-C280*G$1</f>
        <v>-3269.679928</v>
      </c>
      <c r="H280" s="89">
        <f t="shared" ref="H280:H311" si="99">-D280*H$1</f>
        <v>-3075.3601039999999</v>
      </c>
      <c r="I280" s="89">
        <f t="shared" ref="I280:I311" si="100">-E280*I$1</f>
        <v>-3150.5600559999998</v>
      </c>
      <c r="J280" s="89"/>
      <c r="K280" s="89"/>
    </row>
    <row r="281" spans="1:12" hidden="1" x14ac:dyDescent="0.4">
      <c r="A281" s="93" t="s">
        <v>270</v>
      </c>
      <c r="B281" s="88">
        <v>398.27999899999998</v>
      </c>
      <c r="C281" s="88">
        <v>404.57998700000002</v>
      </c>
      <c r="D281" s="88">
        <v>377.47000100000002</v>
      </c>
      <c r="E281" s="88">
        <v>397.85000600000001</v>
      </c>
      <c r="F281" s="89">
        <f t="shared" si="97"/>
        <v>-3186.2399919999998</v>
      </c>
      <c r="G281" s="89">
        <f t="shared" si="98"/>
        <v>-3236.6398960000001</v>
      </c>
      <c r="H281" s="89">
        <f t="shared" si="99"/>
        <v>-3019.7600080000002</v>
      </c>
      <c r="I281" s="89">
        <f t="shared" si="100"/>
        <v>-3182.8000480000001</v>
      </c>
      <c r="J281" s="89"/>
      <c r="K281" s="89"/>
    </row>
    <row r="282" spans="1:12" hidden="1" x14ac:dyDescent="0.4">
      <c r="A282" s="93" t="s">
        <v>271</v>
      </c>
      <c r="B282" s="88">
        <v>399.04998799999998</v>
      </c>
      <c r="C282" s="88">
        <v>402.27999899999998</v>
      </c>
      <c r="D282" s="88">
        <v>334.14999399999999</v>
      </c>
      <c r="E282" s="88">
        <v>363.04998799999998</v>
      </c>
      <c r="F282" s="89">
        <f t="shared" si="97"/>
        <v>-3192.3999039999999</v>
      </c>
      <c r="G282" s="89">
        <f t="shared" si="98"/>
        <v>-3218.2399919999998</v>
      </c>
      <c r="H282" s="89">
        <f t="shared" si="99"/>
        <v>-2673.1999519999999</v>
      </c>
      <c r="I282" s="89">
        <f t="shared" si="100"/>
        <v>-2904.3999039999999</v>
      </c>
      <c r="J282" s="89"/>
      <c r="K282" s="89"/>
    </row>
    <row r="283" spans="1:12" hidden="1" x14ac:dyDescent="0.4">
      <c r="A283" s="93" t="s">
        <v>272</v>
      </c>
      <c r="B283" s="88">
        <v>364.42999300000002</v>
      </c>
      <c r="C283" s="88">
        <v>370.10000600000001</v>
      </c>
      <c r="D283" s="88">
        <v>318.26001000000002</v>
      </c>
      <c r="E283" s="88">
        <v>346.79998799999998</v>
      </c>
      <c r="F283" s="89">
        <f t="shared" si="97"/>
        <v>-2915.4399440000002</v>
      </c>
      <c r="G283" s="89">
        <f t="shared" si="98"/>
        <v>-2960.8000480000001</v>
      </c>
      <c r="H283" s="89">
        <f t="shared" si="99"/>
        <v>-2546.0800800000002</v>
      </c>
      <c r="I283" s="89">
        <f t="shared" si="100"/>
        <v>-2774.3999039999999</v>
      </c>
      <c r="J283" s="89"/>
      <c r="K283" s="89"/>
    </row>
    <row r="284" spans="1:12" hidden="1" x14ac:dyDescent="0.4">
      <c r="A284" s="93" t="s">
        <v>273</v>
      </c>
      <c r="B284" s="88">
        <v>345.75</v>
      </c>
      <c r="C284" s="88">
        <v>371.82998700000002</v>
      </c>
      <c r="D284" s="88">
        <v>317.45001200000002</v>
      </c>
      <c r="E284" s="88">
        <v>362.540009</v>
      </c>
      <c r="F284" s="89">
        <f t="shared" si="97"/>
        <v>-2766</v>
      </c>
      <c r="G284" s="89">
        <f t="shared" si="98"/>
        <v>-2974.6398960000001</v>
      </c>
      <c r="H284" s="89">
        <f t="shared" si="99"/>
        <v>-2539.6000960000001</v>
      </c>
      <c r="I284" s="89">
        <f t="shared" si="100"/>
        <v>-2900.320072</v>
      </c>
      <c r="J284" s="89"/>
      <c r="K284" s="89"/>
    </row>
    <row r="285" spans="1:12" hidden="1" x14ac:dyDescent="0.4">
      <c r="A285" s="93" t="s">
        <v>274</v>
      </c>
      <c r="B285" s="88">
        <v>362.80999800000001</v>
      </c>
      <c r="C285" s="88">
        <v>369.30999800000001</v>
      </c>
      <c r="D285" s="88">
        <v>312.60000600000001</v>
      </c>
      <c r="E285" s="88">
        <v>313.25</v>
      </c>
      <c r="F285" s="89">
        <f t="shared" si="97"/>
        <v>-2902.4799840000001</v>
      </c>
      <c r="G285" s="89">
        <f t="shared" si="98"/>
        <v>-2954.4799840000001</v>
      </c>
      <c r="H285" s="89">
        <f t="shared" si="99"/>
        <v>-2500.8000480000001</v>
      </c>
      <c r="I285" s="89">
        <f t="shared" si="100"/>
        <v>-2506</v>
      </c>
      <c r="J285" s="89"/>
      <c r="K285" s="89"/>
    </row>
    <row r="286" spans="1:12" hidden="1" x14ac:dyDescent="0.4">
      <c r="A286" s="93" t="s">
        <v>275</v>
      </c>
      <c r="B286" s="88">
        <v>312.82998700000002</v>
      </c>
      <c r="C286" s="88">
        <v>330.290009</v>
      </c>
      <c r="D286" s="88">
        <v>280.209991</v>
      </c>
      <c r="E286" s="88">
        <v>308.27999899999998</v>
      </c>
      <c r="F286" s="89">
        <f t="shared" si="97"/>
        <v>-2502.6398960000001</v>
      </c>
      <c r="G286" s="89">
        <f t="shared" si="98"/>
        <v>-2642.320072</v>
      </c>
      <c r="H286" s="89">
        <f t="shared" si="99"/>
        <v>-2241.679928</v>
      </c>
      <c r="I286" s="89">
        <f t="shared" si="100"/>
        <v>-2466.2399919999998</v>
      </c>
      <c r="J286" s="89"/>
      <c r="K286" s="89"/>
    </row>
    <row r="287" spans="1:12" hidden="1" x14ac:dyDescent="0.4">
      <c r="A287" s="93" t="s">
        <v>276</v>
      </c>
      <c r="B287" s="88">
        <v>310.47000100000002</v>
      </c>
      <c r="C287" s="88">
        <v>314.55999800000001</v>
      </c>
      <c r="D287" s="88">
        <v>269.27999899999998</v>
      </c>
      <c r="E287" s="88">
        <v>280.27999899999998</v>
      </c>
      <c r="F287" s="89">
        <f t="shared" si="97"/>
        <v>-2483.7600080000002</v>
      </c>
      <c r="G287" s="89">
        <f t="shared" si="98"/>
        <v>-2516.4799840000001</v>
      </c>
      <c r="H287" s="89">
        <f t="shared" si="99"/>
        <v>-2154.2399919999998</v>
      </c>
      <c r="I287" s="89">
        <f t="shared" si="100"/>
        <v>-2242.2399919999998</v>
      </c>
      <c r="J287" s="89">
        <f t="shared" ref="J287" si="101">-MAX(C287:C298)*12*J$1</f>
        <v>-29730.119412000004</v>
      </c>
      <c r="K287" s="89">
        <f t="shared" ref="K287" si="102">-MIN(D287:D298)*12*K$1</f>
        <v>-33562.319340000002</v>
      </c>
      <c r="L287" s="89">
        <f t="shared" ref="L287" si="103">L278</f>
        <v>0</v>
      </c>
    </row>
    <row r="288" spans="1:12" hidden="1" x14ac:dyDescent="0.4">
      <c r="A288" s="93" t="s">
        <v>277</v>
      </c>
      <c r="B288" s="88">
        <v>278.95001200000002</v>
      </c>
      <c r="C288" s="88">
        <v>316.39001500000001</v>
      </c>
      <c r="D288" s="88">
        <v>276.75</v>
      </c>
      <c r="E288" s="88">
        <v>315.459991</v>
      </c>
      <c r="F288" s="89">
        <f t="shared" si="97"/>
        <v>-2231.6000960000001</v>
      </c>
      <c r="G288" s="89">
        <f t="shared" si="98"/>
        <v>-2531.12012</v>
      </c>
      <c r="H288" s="89">
        <f t="shared" si="99"/>
        <v>-2214</v>
      </c>
      <c r="I288" s="89">
        <f t="shared" si="100"/>
        <v>-2523.679928</v>
      </c>
      <c r="J288" s="89"/>
      <c r="K288" s="89"/>
    </row>
    <row r="289" spans="1:12" hidden="1" x14ac:dyDescent="0.4">
      <c r="A289" s="93" t="s">
        <v>278</v>
      </c>
      <c r="B289" s="88">
        <v>313.64999399999999</v>
      </c>
      <c r="C289" s="88">
        <v>334.42001299999998</v>
      </c>
      <c r="D289" s="88">
        <v>298.44000199999999</v>
      </c>
      <c r="E289" s="88">
        <v>299.26998900000001</v>
      </c>
      <c r="F289" s="89">
        <f t="shared" si="97"/>
        <v>-2509.1999519999999</v>
      </c>
      <c r="G289" s="89">
        <f t="shared" si="98"/>
        <v>-2675.3601039999999</v>
      </c>
      <c r="H289" s="89">
        <f t="shared" si="99"/>
        <v>-2387.5200159999999</v>
      </c>
      <c r="I289" s="89">
        <f t="shared" si="100"/>
        <v>-2394.1599120000001</v>
      </c>
      <c r="J289" s="89"/>
      <c r="K289" s="89"/>
    </row>
    <row r="290" spans="1:12" hidden="1" x14ac:dyDescent="0.4">
      <c r="A290" s="93" t="s">
        <v>279</v>
      </c>
      <c r="B290" s="88">
        <v>296.72000100000002</v>
      </c>
      <c r="C290" s="88">
        <v>311.07998700000002</v>
      </c>
      <c r="D290" s="88">
        <v>267.10000600000001</v>
      </c>
      <c r="E290" s="88">
        <v>267.26001000000002</v>
      </c>
      <c r="F290" s="89">
        <f t="shared" si="97"/>
        <v>-2373.7600080000002</v>
      </c>
      <c r="G290" s="89">
        <f t="shared" si="98"/>
        <v>-2488.6398960000001</v>
      </c>
      <c r="H290" s="89">
        <f t="shared" si="99"/>
        <v>-2136.8000480000001</v>
      </c>
      <c r="I290" s="89">
        <f t="shared" si="100"/>
        <v>-2138.0800800000002</v>
      </c>
      <c r="J290" s="89"/>
      <c r="K290" s="89"/>
    </row>
    <row r="291" spans="1:12" hidden="1" x14ac:dyDescent="0.4">
      <c r="A291" s="93" t="s">
        <v>280</v>
      </c>
      <c r="B291" s="88">
        <v>269.07000699999998</v>
      </c>
      <c r="C291" s="88">
        <v>284.60000600000001</v>
      </c>
      <c r="D291" s="88">
        <v>254.259995</v>
      </c>
      <c r="E291" s="88">
        <v>277.95001200000002</v>
      </c>
      <c r="F291" s="89">
        <f t="shared" si="97"/>
        <v>-2152.5600559999998</v>
      </c>
      <c r="G291" s="89">
        <f t="shared" si="98"/>
        <v>-2276.8000480000001</v>
      </c>
      <c r="H291" s="89">
        <f t="shared" si="99"/>
        <v>-2034.07996</v>
      </c>
      <c r="I291" s="89">
        <f t="shared" si="100"/>
        <v>-2223.6000960000001</v>
      </c>
      <c r="J291" s="89"/>
      <c r="K291" s="89"/>
    </row>
    <row r="292" spans="1:12" hidden="1" x14ac:dyDescent="0.4">
      <c r="A292" s="93" t="s">
        <v>281</v>
      </c>
      <c r="B292" s="88">
        <v>281.5</v>
      </c>
      <c r="C292" s="88">
        <v>293.47000100000002</v>
      </c>
      <c r="D292" s="88">
        <v>259.07998700000002</v>
      </c>
      <c r="E292" s="88">
        <v>293.35998499999999</v>
      </c>
      <c r="F292" s="89">
        <f t="shared" si="97"/>
        <v>-2252</v>
      </c>
      <c r="G292" s="89">
        <f t="shared" si="98"/>
        <v>-2347.7600080000002</v>
      </c>
      <c r="H292" s="89">
        <f t="shared" si="99"/>
        <v>-2072.6398960000001</v>
      </c>
      <c r="I292" s="89">
        <f t="shared" si="100"/>
        <v>-2346.87988</v>
      </c>
      <c r="J292" s="89"/>
      <c r="K292" s="89"/>
    </row>
    <row r="293" spans="1:12" hidden="1" x14ac:dyDescent="0.4">
      <c r="A293" s="93" t="s">
        <v>282</v>
      </c>
      <c r="B293" s="88">
        <v>293.69000199999999</v>
      </c>
      <c r="C293" s="88">
        <v>296.88000499999998</v>
      </c>
      <c r="D293" s="88">
        <v>259.73001099999999</v>
      </c>
      <c r="E293" s="88">
        <v>266.27999899999998</v>
      </c>
      <c r="F293" s="89">
        <f t="shared" si="97"/>
        <v>-2349.5200159999999</v>
      </c>
      <c r="G293" s="89">
        <f t="shared" si="98"/>
        <v>-2375.0400399999999</v>
      </c>
      <c r="H293" s="89">
        <f t="shared" si="99"/>
        <v>-2077.8400879999999</v>
      </c>
      <c r="I293" s="89">
        <f t="shared" si="100"/>
        <v>-2130.2399919999998</v>
      </c>
      <c r="J293" s="89"/>
      <c r="K293" s="89"/>
    </row>
    <row r="294" spans="1:12" hidden="1" x14ac:dyDescent="0.4">
      <c r="A294" s="93" t="s">
        <v>283</v>
      </c>
      <c r="B294" s="88">
        <v>268.64999399999999</v>
      </c>
      <c r="C294" s="88">
        <v>298.26001000000002</v>
      </c>
      <c r="D294" s="88">
        <v>260.33999599999999</v>
      </c>
      <c r="E294" s="88">
        <v>294.61999500000002</v>
      </c>
      <c r="F294" s="89">
        <f t="shared" si="97"/>
        <v>-2149.1999519999999</v>
      </c>
      <c r="G294" s="89">
        <f t="shared" si="98"/>
        <v>-2386.0800800000002</v>
      </c>
      <c r="H294" s="89">
        <f t="shared" si="99"/>
        <v>-2082.7199679999999</v>
      </c>
      <c r="I294" s="89">
        <f t="shared" si="100"/>
        <v>-2356.9599600000001</v>
      </c>
      <c r="J294" s="89"/>
      <c r="K294" s="89"/>
    </row>
    <row r="295" spans="1:12" hidden="1" x14ac:dyDescent="0.4">
      <c r="A295" s="93" t="s">
        <v>284</v>
      </c>
      <c r="B295" s="88">
        <v>294.41000400000001</v>
      </c>
      <c r="C295" s="88">
        <v>313.67999300000002</v>
      </c>
      <c r="D295" s="88">
        <v>290.04998799999998</v>
      </c>
      <c r="E295" s="88">
        <v>293.55999800000001</v>
      </c>
      <c r="F295" s="89">
        <f t="shared" si="97"/>
        <v>-2355.2800320000001</v>
      </c>
      <c r="G295" s="89">
        <f t="shared" si="98"/>
        <v>-2509.4399440000002</v>
      </c>
      <c r="H295" s="89">
        <f t="shared" si="99"/>
        <v>-2320.3999039999999</v>
      </c>
      <c r="I295" s="89">
        <f t="shared" si="100"/>
        <v>-2348.4799840000001</v>
      </c>
      <c r="J295" s="89"/>
      <c r="K295" s="89"/>
    </row>
    <row r="296" spans="1:12" hidden="1" x14ac:dyDescent="0.4">
      <c r="A296" s="93" t="s">
        <v>285</v>
      </c>
      <c r="B296" s="88">
        <v>293.26001000000002</v>
      </c>
      <c r="C296" s="88">
        <v>321.17001299999998</v>
      </c>
      <c r="D296" s="88">
        <v>285.19000199999999</v>
      </c>
      <c r="E296" s="88">
        <v>320.92999300000002</v>
      </c>
      <c r="F296" s="89">
        <f t="shared" si="97"/>
        <v>-2346.0800800000002</v>
      </c>
      <c r="G296" s="89">
        <f t="shared" si="98"/>
        <v>-2569.3601039999999</v>
      </c>
      <c r="H296" s="89">
        <f t="shared" si="99"/>
        <v>-2281.5200159999999</v>
      </c>
      <c r="I296" s="89">
        <f t="shared" si="100"/>
        <v>-2567.4399440000002</v>
      </c>
      <c r="J296" s="89"/>
      <c r="K296" s="89"/>
    </row>
    <row r="297" spans="1:12" hidden="1" x14ac:dyDescent="0.4">
      <c r="A297" s="93" t="s">
        <v>286</v>
      </c>
      <c r="B297" s="88">
        <v>318.76998900000001</v>
      </c>
      <c r="C297" s="88">
        <v>322.64999399999999</v>
      </c>
      <c r="D297" s="88">
        <v>309.89001500000001</v>
      </c>
      <c r="E297" s="88">
        <v>322.55999800000001</v>
      </c>
      <c r="F297" s="89">
        <f t="shared" si="97"/>
        <v>-2550.1599120000001</v>
      </c>
      <c r="G297" s="89">
        <f t="shared" si="98"/>
        <v>-2581.1999519999999</v>
      </c>
      <c r="H297" s="89">
        <f t="shared" si="99"/>
        <v>-2479.12012</v>
      </c>
      <c r="I297" s="89">
        <f t="shared" si="100"/>
        <v>-2580.4799840000001</v>
      </c>
      <c r="J297" s="89"/>
      <c r="K297" s="89"/>
    </row>
    <row r="298" spans="1:12" hidden="1" x14ac:dyDescent="0.4">
      <c r="A298" s="93" t="s">
        <v>287</v>
      </c>
      <c r="B298" s="88">
        <v>322.08999599999999</v>
      </c>
      <c r="C298" s="88">
        <v>353.92999300000002</v>
      </c>
      <c r="D298" s="88">
        <v>315.11999500000002</v>
      </c>
      <c r="E298" s="88">
        <v>347.98998999999998</v>
      </c>
      <c r="F298" s="89">
        <f t="shared" si="97"/>
        <v>-2576.7199679999999</v>
      </c>
      <c r="G298" s="89">
        <f t="shared" si="98"/>
        <v>-2831.4399440000002</v>
      </c>
      <c r="H298" s="89">
        <f t="shared" si="99"/>
        <v>-2520.9599600000001</v>
      </c>
      <c r="I298" s="89">
        <f t="shared" si="100"/>
        <v>-2783.9199199999998</v>
      </c>
      <c r="J298" s="89"/>
      <c r="K298" s="89"/>
    </row>
    <row r="299" spans="1:12" hidden="1" x14ac:dyDescent="0.4">
      <c r="A299" s="93" t="s">
        <v>288</v>
      </c>
      <c r="B299" s="88">
        <v>347.73001099999999</v>
      </c>
      <c r="C299" s="88">
        <v>372.85000600000001</v>
      </c>
      <c r="D299" s="88">
        <v>346.66000400000001</v>
      </c>
      <c r="E299" s="88">
        <v>369.42001299999998</v>
      </c>
      <c r="F299" s="89">
        <f t="shared" si="97"/>
        <v>-2781.8400879999999</v>
      </c>
      <c r="G299" s="89">
        <f t="shared" si="98"/>
        <v>-2982.8000480000001</v>
      </c>
      <c r="H299" s="89">
        <f t="shared" si="99"/>
        <v>-2773.2800320000001</v>
      </c>
      <c r="I299" s="89">
        <f t="shared" si="100"/>
        <v>-2955.3601039999999</v>
      </c>
      <c r="J299" s="89">
        <f t="shared" ref="J299" si="104">-MAX(C299:C311)*12*J$1</f>
        <v>-38688.720000000001</v>
      </c>
      <c r="K299" s="89">
        <f t="shared" ref="K299" si="105">-MIN(D299:D311)*12*K$1</f>
        <v>-18885.239999999998</v>
      </c>
      <c r="L299" s="89">
        <f t="shared" ref="L299" si="106">L290</f>
        <v>0</v>
      </c>
    </row>
    <row r="300" spans="1:12" hidden="1" x14ac:dyDescent="0.4">
      <c r="A300" s="93" t="s">
        <v>289</v>
      </c>
      <c r="B300" s="88">
        <v>370.07000699999998</v>
      </c>
      <c r="C300" s="88">
        <v>387.98001099999999</v>
      </c>
      <c r="D300" s="88">
        <v>363.41000400000001</v>
      </c>
      <c r="E300" s="88">
        <v>383.67999300000002</v>
      </c>
      <c r="F300" s="89">
        <f t="shared" si="97"/>
        <v>-2960.5600559999998</v>
      </c>
      <c r="G300" s="89">
        <f t="shared" si="98"/>
        <v>-3103.8400879999999</v>
      </c>
      <c r="H300" s="89">
        <f t="shared" si="99"/>
        <v>-2907.2800320000001</v>
      </c>
      <c r="I300" s="89">
        <f t="shared" si="100"/>
        <v>-3069.4399440000002</v>
      </c>
      <c r="J300" s="89"/>
      <c r="K300" s="89"/>
    </row>
    <row r="301" spans="1:12" hidden="1" x14ac:dyDescent="0.4">
      <c r="A301" s="93" t="s">
        <v>290</v>
      </c>
      <c r="B301" s="88">
        <v>382.30999800000001</v>
      </c>
      <c r="C301" s="88">
        <v>383.55999800000001</v>
      </c>
      <c r="D301" s="88">
        <v>354.709991</v>
      </c>
      <c r="E301" s="88">
        <v>377.98998999999998</v>
      </c>
      <c r="F301" s="89">
        <f t="shared" si="97"/>
        <v>-3058.4799840000001</v>
      </c>
      <c r="G301" s="89">
        <f t="shared" si="98"/>
        <v>-3068.4799840000001</v>
      </c>
      <c r="H301" s="89">
        <f t="shared" si="99"/>
        <v>-2837.679928</v>
      </c>
      <c r="I301" s="89">
        <f t="shared" si="100"/>
        <v>-3023.9199199999998</v>
      </c>
      <c r="J301" s="89"/>
      <c r="K301" s="89"/>
    </row>
    <row r="302" spans="1:12" hidden="1" x14ac:dyDescent="0.4">
      <c r="A302" s="93" t="s">
        <v>291</v>
      </c>
      <c r="B302" s="88">
        <v>380.39999399999999</v>
      </c>
      <c r="C302" s="88">
        <v>380.82998700000002</v>
      </c>
      <c r="D302" s="88">
        <v>351.35998499999999</v>
      </c>
      <c r="E302" s="88">
        <v>358.26998900000001</v>
      </c>
      <c r="F302" s="89">
        <f t="shared" si="97"/>
        <v>-3043.1999519999999</v>
      </c>
      <c r="G302" s="89">
        <f t="shared" si="98"/>
        <v>-3046.6398960000001</v>
      </c>
      <c r="H302" s="89">
        <f t="shared" si="99"/>
        <v>-2810.87988</v>
      </c>
      <c r="I302" s="89">
        <f t="shared" si="100"/>
        <v>-2866.1599120000001</v>
      </c>
      <c r="J302" s="89"/>
      <c r="K302" s="89"/>
    </row>
    <row r="303" spans="1:12" hidden="1" x14ac:dyDescent="0.4">
      <c r="A303" s="93" t="s">
        <v>292</v>
      </c>
      <c r="B303" s="88">
        <v>358.540009</v>
      </c>
      <c r="C303" s="88">
        <v>373.73998999999998</v>
      </c>
      <c r="D303" s="88">
        <v>342.35000600000001</v>
      </c>
      <c r="E303" s="88">
        <v>350.86999500000002</v>
      </c>
      <c r="F303" s="89">
        <f t="shared" si="97"/>
        <v>-2868.320072</v>
      </c>
      <c r="G303" s="89">
        <f t="shared" si="98"/>
        <v>-2989.9199199999998</v>
      </c>
      <c r="H303" s="89">
        <f t="shared" si="99"/>
        <v>-2738.8000480000001</v>
      </c>
      <c r="I303" s="89">
        <f t="shared" si="100"/>
        <v>-2806.9599600000001</v>
      </c>
      <c r="J303" s="89"/>
      <c r="K303" s="89"/>
    </row>
    <row r="304" spans="1:12" hidden="1" x14ac:dyDescent="0.4">
      <c r="A304" s="93" t="s">
        <v>293</v>
      </c>
      <c r="B304" s="88">
        <v>351.72000100000002</v>
      </c>
      <c r="C304" s="88">
        <v>394.14001500000001</v>
      </c>
      <c r="D304" s="88">
        <v>351.61999500000002</v>
      </c>
      <c r="E304" s="88">
        <v>388.82998700000002</v>
      </c>
      <c r="F304" s="89">
        <f t="shared" si="97"/>
        <v>-2813.7600080000002</v>
      </c>
      <c r="G304" s="89">
        <f t="shared" si="98"/>
        <v>-3153.12012</v>
      </c>
      <c r="H304" s="89">
        <f t="shared" si="99"/>
        <v>-2812.9599600000001</v>
      </c>
      <c r="I304" s="89">
        <f t="shared" si="100"/>
        <v>-3110.6398960000001</v>
      </c>
      <c r="J304" s="89"/>
      <c r="K304" s="89"/>
    </row>
    <row r="305" spans="1:12" hidden="1" x14ac:dyDescent="0.4">
      <c r="A305" s="93" t="s">
        <v>294</v>
      </c>
      <c r="B305" s="88">
        <v>387.75</v>
      </c>
      <c r="C305" s="88">
        <v>412.92001299999998</v>
      </c>
      <c r="D305" s="88">
        <v>382.66000400000001</v>
      </c>
      <c r="E305" s="88">
        <v>409.51998900000001</v>
      </c>
      <c r="F305" s="89">
        <f t="shared" si="97"/>
        <v>-3102</v>
      </c>
      <c r="G305" s="89">
        <f t="shared" si="98"/>
        <v>-3303.3601039999999</v>
      </c>
      <c r="H305" s="89">
        <f t="shared" si="99"/>
        <v>-3061.2800320000001</v>
      </c>
      <c r="I305" s="89">
        <f t="shared" si="100"/>
        <v>-3276.1599120000001</v>
      </c>
      <c r="J305" s="89"/>
      <c r="K305" s="89"/>
    </row>
    <row r="306" spans="1:12" s="115" customFormat="1" x14ac:dyDescent="0.4">
      <c r="A306" s="116"/>
      <c r="B306" s="113"/>
      <c r="C306" s="113"/>
      <c r="D306" s="113"/>
      <c r="E306" s="113" t="s">
        <v>409</v>
      </c>
      <c r="F306" s="114"/>
      <c r="G306" s="114"/>
      <c r="H306" s="114"/>
      <c r="I306" s="114"/>
      <c r="J306" s="114"/>
      <c r="K306" s="114"/>
      <c r="L306" s="114"/>
    </row>
    <row r="307" spans="1:12" x14ac:dyDescent="0.4">
      <c r="A307" s="93" t="s">
        <v>295</v>
      </c>
      <c r="B307" s="88">
        <v>405.83999599999999</v>
      </c>
      <c r="C307" s="88">
        <v>429.85</v>
      </c>
      <c r="D307" s="88">
        <v>395.34</v>
      </c>
      <c r="E307" s="88">
        <v>416.97</v>
      </c>
      <c r="F307" s="89">
        <f t="shared" si="97"/>
        <v>-3246.7199679999999</v>
      </c>
      <c r="G307" s="89">
        <f t="shared" si="98"/>
        <v>-3438.8</v>
      </c>
      <c r="H307" s="89">
        <f t="shared" si="99"/>
        <v>-3162.72</v>
      </c>
      <c r="I307" s="89">
        <f t="shared" si="100"/>
        <v>-3335.76</v>
      </c>
      <c r="J307" s="89"/>
      <c r="K307" s="89"/>
    </row>
    <row r="308" spans="1:12" x14ac:dyDescent="0.4">
      <c r="A308" s="93" t="s">
        <v>303</v>
      </c>
      <c r="B308" s="88">
        <v>418.79</v>
      </c>
      <c r="C308" s="88">
        <v>440.59</v>
      </c>
      <c r="D308" s="88">
        <v>417.81</v>
      </c>
      <c r="E308" s="88">
        <v>439</v>
      </c>
      <c r="F308" s="89">
        <f t="shared" si="97"/>
        <v>-3350.32</v>
      </c>
      <c r="G308" s="89">
        <f t="shared" si="98"/>
        <v>-3524.72</v>
      </c>
      <c r="H308" s="89">
        <f t="shared" si="99"/>
        <v>-3342.48</v>
      </c>
      <c r="I308" s="89">
        <f t="shared" si="100"/>
        <v>-3512</v>
      </c>
      <c r="J308" s="89"/>
      <c r="K308" s="89"/>
    </row>
    <row r="309" spans="1:12" x14ac:dyDescent="0.4">
      <c r="A309" s="93" t="s">
        <v>304</v>
      </c>
      <c r="B309" s="88">
        <v>439.9</v>
      </c>
      <c r="C309" s="88">
        <v>449.34</v>
      </c>
      <c r="D309" s="88">
        <v>432.74</v>
      </c>
      <c r="E309" s="88">
        <v>444.01</v>
      </c>
      <c r="F309" s="89">
        <f t="shared" si="97"/>
        <v>-3519.2</v>
      </c>
      <c r="G309" s="89">
        <f t="shared" si="98"/>
        <v>-3594.72</v>
      </c>
      <c r="H309" s="89">
        <f t="shared" si="99"/>
        <v>-3461.92</v>
      </c>
      <c r="I309" s="89">
        <f t="shared" si="100"/>
        <v>-3552.08</v>
      </c>
      <c r="J309" s="89"/>
      <c r="K309" s="89"/>
    </row>
    <row r="310" spans="1:12" x14ac:dyDescent="0.4">
      <c r="A310" s="93" t="s">
        <v>305</v>
      </c>
      <c r="B310" s="88">
        <v>444.97</v>
      </c>
      <c r="C310" s="88">
        <v>447.53</v>
      </c>
      <c r="D310" s="88">
        <v>143.07</v>
      </c>
      <c r="E310" s="88">
        <v>424.59</v>
      </c>
      <c r="F310" s="89">
        <f t="shared" si="97"/>
        <v>-3559.76</v>
      </c>
      <c r="G310" s="89">
        <f t="shared" si="98"/>
        <v>-3580.24</v>
      </c>
      <c r="H310" s="89">
        <f t="shared" si="99"/>
        <v>-1144.56</v>
      </c>
      <c r="I310" s="89">
        <f t="shared" si="100"/>
        <v>-3396.72</v>
      </c>
      <c r="J310" s="89"/>
      <c r="K310" s="89"/>
    </row>
    <row r="311" spans="1:12" x14ac:dyDescent="0.4">
      <c r="A311" s="93" t="s">
        <v>306</v>
      </c>
      <c r="B311" s="88">
        <v>423.15</v>
      </c>
      <c r="C311" s="88">
        <v>460.58</v>
      </c>
      <c r="D311" s="88">
        <v>420.63</v>
      </c>
      <c r="E311" s="88">
        <v>451.55</v>
      </c>
      <c r="F311" s="89">
        <f t="shared" si="97"/>
        <v>-3385.2</v>
      </c>
      <c r="G311" s="89">
        <f t="shared" si="98"/>
        <v>-3684.64</v>
      </c>
      <c r="H311" s="89">
        <f t="shared" si="99"/>
        <v>-3365.04</v>
      </c>
      <c r="I311" s="89">
        <f t="shared" si="100"/>
        <v>-3612.4</v>
      </c>
      <c r="J311" s="89"/>
      <c r="K311" s="89"/>
    </row>
    <row r="312" spans="1:12" x14ac:dyDescent="0.4">
      <c r="A312" s="90">
        <v>45443</v>
      </c>
      <c r="B312" s="192" t="s">
        <v>312</v>
      </c>
      <c r="C312" s="193"/>
      <c r="D312" s="193"/>
      <c r="E312" s="194"/>
      <c r="F312" s="89">
        <f>F5</f>
        <v>1083720</v>
      </c>
      <c r="G312" s="89">
        <f t="shared" ref="G312:L312" si="107">G5</f>
        <v>1083720</v>
      </c>
      <c r="H312" s="89">
        <f t="shared" si="107"/>
        <v>1083720</v>
      </c>
      <c r="I312" s="89">
        <f t="shared" si="107"/>
        <v>1083720</v>
      </c>
      <c r="J312" s="89">
        <f t="shared" si="107"/>
        <v>948255</v>
      </c>
      <c r="K312" s="89">
        <f t="shared" si="107"/>
        <v>1490115</v>
      </c>
      <c r="L312" s="89">
        <f t="shared" si="107"/>
        <v>2167440</v>
      </c>
    </row>
  </sheetData>
  <sheetProtection password="ECAD" sheet="1" objects="1" scenarios="1"/>
  <mergeCells count="10">
    <mergeCell ref="A1:E1"/>
    <mergeCell ref="A8:E8"/>
    <mergeCell ref="A9:E9"/>
    <mergeCell ref="B312:E312"/>
    <mergeCell ref="A3:E3"/>
    <mergeCell ref="A2:E2"/>
    <mergeCell ref="A4:E4"/>
    <mergeCell ref="A5:E5"/>
    <mergeCell ref="A6:E6"/>
    <mergeCell ref="A7:E7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zoomScale="85" zoomScaleNormal="85" workbookViewId="0">
      <pane xSplit="6" ySplit="2" topLeftCell="G3" activePane="bottomRight" state="frozen"/>
      <selection activeCell="H23" sqref="H23"/>
      <selection pane="topRight" activeCell="H23" sqref="H23"/>
      <selection pane="bottomLeft" activeCell="H23" sqref="H23"/>
      <selection pane="bottomRight" activeCell="G3" sqref="G3"/>
    </sheetView>
  </sheetViews>
  <sheetFormatPr defaultColWidth="9.90625" defaultRowHeight="17" x14ac:dyDescent="0.4"/>
  <cols>
    <col min="1" max="1" width="4.6328125" style="47" customWidth="1"/>
    <col min="2" max="2" width="12.36328125" style="120" bestFit="1" customWidth="1"/>
    <col min="3" max="3" width="9.54296875" style="77" bestFit="1" customWidth="1"/>
    <col min="4" max="4" width="1.6328125" style="67" customWidth="1"/>
    <col min="5" max="5" width="7.08984375" style="72" bestFit="1" customWidth="1"/>
    <col min="6" max="6" width="7.08984375" style="46" bestFit="1" customWidth="1"/>
    <col min="7" max="7" width="8.36328125" style="78" bestFit="1" customWidth="1"/>
    <col min="8" max="8" width="13.6328125" style="42" bestFit="1" customWidth="1"/>
    <col min="9" max="9" width="12" style="42" bestFit="1" customWidth="1"/>
    <col min="10" max="10" width="13.6328125" style="42" bestFit="1" customWidth="1"/>
    <col min="11" max="11" width="9.36328125" style="78" bestFit="1" customWidth="1"/>
    <col min="12" max="12" width="10.90625" style="42" bestFit="1" customWidth="1"/>
    <col min="13" max="13" width="9.81640625" style="42" bestFit="1" customWidth="1"/>
    <col min="14" max="14" width="10.90625" style="42" bestFit="1" customWidth="1"/>
    <col min="15" max="16384" width="9.90625" style="1"/>
  </cols>
  <sheetData>
    <row r="1" spans="1:14" s="4" customFormat="1" ht="17" customHeight="1" x14ac:dyDescent="0.4">
      <c r="A1" s="211" t="s">
        <v>357</v>
      </c>
      <c r="B1" s="199" t="s">
        <v>424</v>
      </c>
      <c r="C1" s="199" t="s">
        <v>347</v>
      </c>
      <c r="D1" s="200"/>
      <c r="E1" s="201" t="s">
        <v>338</v>
      </c>
      <c r="F1" s="201" t="s">
        <v>339</v>
      </c>
      <c r="G1" s="203">
        <f>C7</f>
        <v>72</v>
      </c>
      <c r="H1" s="204"/>
      <c r="I1" s="204"/>
      <c r="J1" s="205"/>
      <c r="K1" s="196" t="str">
        <f>TEXT(C8,"#%")&amp;" 提領(萬)"</f>
        <v>6% 提領(萬)</v>
      </c>
      <c r="L1" s="197"/>
      <c r="M1" s="197"/>
      <c r="N1" s="198"/>
    </row>
    <row r="2" spans="1:14" s="4" customFormat="1" ht="34" x14ac:dyDescent="0.4">
      <c r="A2" s="211"/>
      <c r="B2" s="199"/>
      <c r="C2" s="199"/>
      <c r="D2" s="200"/>
      <c r="E2" s="202"/>
      <c r="F2" s="202"/>
      <c r="G2" s="68" t="s">
        <v>340</v>
      </c>
      <c r="H2" s="69" t="s">
        <v>341</v>
      </c>
      <c r="I2" s="69" t="s">
        <v>342</v>
      </c>
      <c r="J2" s="69" t="s">
        <v>343</v>
      </c>
      <c r="K2" s="70" t="s">
        <v>340</v>
      </c>
      <c r="L2" s="71" t="s">
        <v>341</v>
      </c>
      <c r="M2" s="71" t="s">
        <v>342</v>
      </c>
      <c r="N2" s="71" t="s">
        <v>343</v>
      </c>
    </row>
    <row r="3" spans="1:14" ht="17" customHeight="1" x14ac:dyDescent="0.4">
      <c r="A3" s="206" t="s">
        <v>355</v>
      </c>
      <c r="B3" s="118" t="s">
        <v>350</v>
      </c>
      <c r="C3" s="82">
        <v>50</v>
      </c>
      <c r="E3" s="72">
        <v>1</v>
      </c>
      <c r="F3" s="73">
        <f>C11</f>
        <v>40</v>
      </c>
      <c r="G3" s="74">
        <f>$C$7*(1+$C$4)^(E3-1)</f>
        <v>72</v>
      </c>
      <c r="H3" s="37">
        <f>C9-G3</f>
        <v>3672</v>
      </c>
      <c r="I3" s="42">
        <f t="shared" ref="I3:I34" si="0">H3*$C$10</f>
        <v>440.64</v>
      </c>
      <c r="J3" s="42">
        <f>H3+I3</f>
        <v>4112.6400000000003</v>
      </c>
      <c r="K3" s="74">
        <f>$C$9*$C$8</f>
        <v>224.64</v>
      </c>
      <c r="L3" s="42">
        <f>C9-K3</f>
        <v>3519.36</v>
      </c>
      <c r="M3" s="42">
        <f t="shared" ref="M3:M34" si="1">L3*$C$10</f>
        <v>422.32319999999999</v>
      </c>
      <c r="N3" s="42">
        <f>L3+M3</f>
        <v>3941.6831999999999</v>
      </c>
    </row>
    <row r="4" spans="1:14" x14ac:dyDescent="0.4">
      <c r="A4" s="207"/>
      <c r="B4" s="118" t="s">
        <v>373</v>
      </c>
      <c r="C4" s="79">
        <v>0.02</v>
      </c>
      <c r="E4" s="72">
        <v>2</v>
      </c>
      <c r="F4" s="46">
        <f>F3+1</f>
        <v>41</v>
      </c>
      <c r="G4" s="75">
        <f t="shared" ref="G4:G63" si="2">$C$7*(1+$C$4)^(E4-1)</f>
        <v>73.44</v>
      </c>
      <c r="H4" s="42">
        <f>J3-G4</f>
        <v>4039.2000000000003</v>
      </c>
      <c r="I4" s="42">
        <f t="shared" si="0"/>
        <v>484.70400000000001</v>
      </c>
      <c r="J4" s="42">
        <f>H4+I4</f>
        <v>4523.9040000000005</v>
      </c>
      <c r="K4" s="75">
        <f t="shared" ref="K4:K35" si="3">N3*$C$8</f>
        <v>236.500992</v>
      </c>
      <c r="L4" s="42">
        <f>N3-K4</f>
        <v>3705.1822080000002</v>
      </c>
      <c r="M4" s="42">
        <f t="shared" si="1"/>
        <v>444.62186495999998</v>
      </c>
      <c r="N4" s="42">
        <f>L4+M4</f>
        <v>4149.8040729599998</v>
      </c>
    </row>
    <row r="5" spans="1:14" x14ac:dyDescent="0.4">
      <c r="A5" s="207"/>
      <c r="B5" s="118" t="s">
        <v>349</v>
      </c>
      <c r="C5" s="81">
        <v>144</v>
      </c>
      <c r="E5" s="72">
        <v>3</v>
      </c>
      <c r="F5" s="46">
        <f t="shared" ref="F5:F63" si="4">F4+1</f>
        <v>42</v>
      </c>
      <c r="G5" s="75">
        <f t="shared" si="2"/>
        <v>74.908799999999999</v>
      </c>
      <c r="H5" s="42">
        <f t="shared" ref="H5:H63" si="5">J4-G5</f>
        <v>4448.9952000000003</v>
      </c>
      <c r="I5" s="42">
        <f t="shared" si="0"/>
        <v>533.87942399999997</v>
      </c>
      <c r="J5" s="42">
        <f t="shared" ref="J5:J63" si="6">H5+I5</f>
        <v>4982.874624</v>
      </c>
      <c r="K5" s="75">
        <f t="shared" si="3"/>
        <v>248.98824437759998</v>
      </c>
      <c r="L5" s="42">
        <f t="shared" ref="L5:L63" si="7">N4-K5</f>
        <v>3900.8158285823997</v>
      </c>
      <c r="M5" s="42">
        <f t="shared" si="1"/>
        <v>468.09789942988795</v>
      </c>
      <c r="N5" s="42">
        <f t="shared" ref="N5:N63" si="8">L5+M5</f>
        <v>4368.9137280122877</v>
      </c>
    </row>
    <row r="6" spans="1:14" x14ac:dyDescent="0.4">
      <c r="A6" s="207"/>
      <c r="B6" s="119" t="s">
        <v>361</v>
      </c>
      <c r="C6" s="81">
        <v>6</v>
      </c>
      <c r="E6" s="72">
        <v>4</v>
      </c>
      <c r="F6" s="46">
        <f t="shared" si="4"/>
        <v>43</v>
      </c>
      <c r="G6" s="75">
        <f t="shared" si="2"/>
        <v>76.406976</v>
      </c>
      <c r="H6" s="42">
        <f t="shared" si="5"/>
        <v>4906.4676479999998</v>
      </c>
      <c r="I6" s="42">
        <f t="shared" si="0"/>
        <v>588.77611775999992</v>
      </c>
      <c r="J6" s="42">
        <f t="shared" si="6"/>
        <v>5495.2437657599994</v>
      </c>
      <c r="K6" s="75">
        <f t="shared" si="3"/>
        <v>262.13482368073727</v>
      </c>
      <c r="L6" s="42">
        <f t="shared" si="7"/>
        <v>4106.7789043315506</v>
      </c>
      <c r="M6" s="42">
        <f t="shared" si="1"/>
        <v>492.81346851978606</v>
      </c>
      <c r="N6" s="42">
        <f t="shared" si="8"/>
        <v>4599.5923728513371</v>
      </c>
    </row>
    <row r="7" spans="1:14" x14ac:dyDescent="0.4">
      <c r="A7" s="207"/>
      <c r="B7" s="119" t="s">
        <v>359</v>
      </c>
      <c r="C7" s="76">
        <f>C6*12</f>
        <v>72</v>
      </c>
      <c r="E7" s="72">
        <v>5</v>
      </c>
      <c r="F7" s="46">
        <f t="shared" si="4"/>
        <v>44</v>
      </c>
      <c r="G7" s="75">
        <f t="shared" si="2"/>
        <v>77.935115519999997</v>
      </c>
      <c r="H7" s="42">
        <f t="shared" si="5"/>
        <v>5417.3086502399992</v>
      </c>
      <c r="I7" s="42">
        <f t="shared" si="0"/>
        <v>650.07703802879985</v>
      </c>
      <c r="J7" s="42">
        <f t="shared" si="6"/>
        <v>6067.3856882687987</v>
      </c>
      <c r="K7" s="75">
        <f t="shared" si="3"/>
        <v>275.97554237108022</v>
      </c>
      <c r="L7" s="42">
        <f t="shared" si="7"/>
        <v>4323.6168304802568</v>
      </c>
      <c r="M7" s="42">
        <f t="shared" si="1"/>
        <v>518.83401965763085</v>
      </c>
      <c r="N7" s="42">
        <f t="shared" si="8"/>
        <v>4842.4508501378878</v>
      </c>
    </row>
    <row r="8" spans="1:14" x14ac:dyDescent="0.4">
      <c r="A8" s="207"/>
      <c r="B8" s="118" t="s">
        <v>380</v>
      </c>
      <c r="C8" s="79">
        <v>0.06</v>
      </c>
      <c r="E8" s="72">
        <v>6</v>
      </c>
      <c r="F8" s="46">
        <f t="shared" si="4"/>
        <v>45</v>
      </c>
      <c r="G8" s="75">
        <f t="shared" si="2"/>
        <v>79.493817830400005</v>
      </c>
      <c r="H8" s="42">
        <f t="shared" si="5"/>
        <v>5987.8918704383987</v>
      </c>
      <c r="I8" s="42">
        <f t="shared" si="0"/>
        <v>718.54702445260784</v>
      </c>
      <c r="J8" s="42">
        <f t="shared" si="6"/>
        <v>6706.4388948910064</v>
      </c>
      <c r="K8" s="75">
        <f t="shared" si="3"/>
        <v>290.54705100827323</v>
      </c>
      <c r="L8" s="42">
        <f t="shared" si="7"/>
        <v>4551.9037991296145</v>
      </c>
      <c r="M8" s="42">
        <f t="shared" si="1"/>
        <v>546.22845589555368</v>
      </c>
      <c r="N8" s="42">
        <f t="shared" si="8"/>
        <v>5098.132255025168</v>
      </c>
    </row>
    <row r="9" spans="1:14" x14ac:dyDescent="0.4">
      <c r="A9" s="208"/>
      <c r="B9" s="118" t="s">
        <v>358</v>
      </c>
      <c r="C9" s="117">
        <f>C5+C3*C7</f>
        <v>3744</v>
      </c>
      <c r="E9" s="72">
        <v>7</v>
      </c>
      <c r="F9" s="46">
        <f t="shared" si="4"/>
        <v>46</v>
      </c>
      <c r="G9" s="75">
        <f t="shared" si="2"/>
        <v>81.083694187008007</v>
      </c>
      <c r="H9" s="42">
        <f t="shared" si="5"/>
        <v>6625.355200703998</v>
      </c>
      <c r="I9" s="42">
        <f t="shared" si="0"/>
        <v>795.04262408447971</v>
      </c>
      <c r="J9" s="42">
        <f t="shared" si="6"/>
        <v>7420.3978247884779</v>
      </c>
      <c r="K9" s="75">
        <f t="shared" si="3"/>
        <v>305.88793530151008</v>
      </c>
      <c r="L9" s="42">
        <f t="shared" si="7"/>
        <v>4792.244319723658</v>
      </c>
      <c r="M9" s="42">
        <f t="shared" si="1"/>
        <v>575.06931836683896</v>
      </c>
      <c r="N9" s="42">
        <f t="shared" si="8"/>
        <v>5367.3136380904971</v>
      </c>
    </row>
    <row r="10" spans="1:14" x14ac:dyDescent="0.4">
      <c r="A10" s="209" t="s">
        <v>381</v>
      </c>
      <c r="B10" s="210"/>
      <c r="C10" s="79">
        <v>0.12</v>
      </c>
      <c r="E10" s="72">
        <v>8</v>
      </c>
      <c r="F10" s="46">
        <f t="shared" si="4"/>
        <v>47</v>
      </c>
      <c r="G10" s="75">
        <f>$C$7*(1+$C$4)^(E10-1)</f>
        <v>82.70536807074815</v>
      </c>
      <c r="H10" s="42">
        <f t="shared" si="5"/>
        <v>7337.6924567177293</v>
      </c>
      <c r="I10" s="42">
        <f t="shared" si="0"/>
        <v>880.52309480612746</v>
      </c>
      <c r="J10" s="42">
        <f t="shared" si="6"/>
        <v>8218.2155515238574</v>
      </c>
      <c r="K10" s="75">
        <f t="shared" si="3"/>
        <v>322.03881828542984</v>
      </c>
      <c r="L10" s="42">
        <f t="shared" si="7"/>
        <v>5045.2748198050676</v>
      </c>
      <c r="M10" s="42">
        <f t="shared" si="1"/>
        <v>605.43297837660805</v>
      </c>
      <c r="N10" s="42">
        <f t="shared" si="8"/>
        <v>5650.7077981816756</v>
      </c>
    </row>
    <row r="11" spans="1:14" x14ac:dyDescent="0.4">
      <c r="A11" s="209" t="s">
        <v>382</v>
      </c>
      <c r="B11" s="210"/>
      <c r="C11" s="80">
        <v>40</v>
      </c>
      <c r="E11" s="72">
        <v>9</v>
      </c>
      <c r="F11" s="46">
        <f t="shared" si="4"/>
        <v>48</v>
      </c>
      <c r="G11" s="75">
        <f t="shared" si="2"/>
        <v>84.359475432163123</v>
      </c>
      <c r="H11" s="42">
        <f t="shared" si="5"/>
        <v>8133.8560760916944</v>
      </c>
      <c r="I11" s="42">
        <f t="shared" si="0"/>
        <v>976.06272913100327</v>
      </c>
      <c r="J11" s="42">
        <f t="shared" si="6"/>
        <v>9109.9188052226982</v>
      </c>
      <c r="K11" s="75">
        <f t="shared" si="3"/>
        <v>339.04246789090053</v>
      </c>
      <c r="L11" s="42">
        <f t="shared" si="7"/>
        <v>5311.6653302907753</v>
      </c>
      <c r="M11" s="42">
        <f t="shared" si="1"/>
        <v>637.39983963489306</v>
      </c>
      <c r="N11" s="42">
        <f t="shared" si="8"/>
        <v>5949.0651699256687</v>
      </c>
    </row>
    <row r="12" spans="1:14" x14ac:dyDescent="0.4">
      <c r="A12" s="54"/>
      <c r="E12" s="72">
        <v>10</v>
      </c>
      <c r="F12" s="46">
        <f t="shared" si="4"/>
        <v>49</v>
      </c>
      <c r="G12" s="75">
        <f t="shared" si="2"/>
        <v>86.04666494080638</v>
      </c>
      <c r="H12" s="42">
        <f t="shared" si="5"/>
        <v>9023.8721402818919</v>
      </c>
      <c r="I12" s="42">
        <f t="shared" si="0"/>
        <v>1082.864656833827</v>
      </c>
      <c r="J12" s="42">
        <f t="shared" si="6"/>
        <v>10106.736797115718</v>
      </c>
      <c r="K12" s="75">
        <f t="shared" si="3"/>
        <v>356.94391019554013</v>
      </c>
      <c r="L12" s="42">
        <f t="shared" si="7"/>
        <v>5592.1212597301283</v>
      </c>
      <c r="M12" s="42">
        <f t="shared" si="1"/>
        <v>671.05455116761539</v>
      </c>
      <c r="N12" s="42">
        <f t="shared" si="8"/>
        <v>6263.1758108977438</v>
      </c>
    </row>
    <row r="13" spans="1:14" x14ac:dyDescent="0.4">
      <c r="A13" s="54"/>
      <c r="E13" s="72">
        <v>11</v>
      </c>
      <c r="F13" s="46">
        <f t="shared" si="4"/>
        <v>50</v>
      </c>
      <c r="G13" s="75">
        <f t="shared" si="2"/>
        <v>87.767598239622515</v>
      </c>
      <c r="H13" s="42">
        <f t="shared" si="5"/>
        <v>10018.969198876095</v>
      </c>
      <c r="I13" s="42">
        <f t="shared" si="0"/>
        <v>1202.2763038651315</v>
      </c>
      <c r="J13" s="42">
        <f t="shared" si="6"/>
        <v>11221.245502741227</v>
      </c>
      <c r="K13" s="75">
        <f t="shared" si="3"/>
        <v>375.79054865386462</v>
      </c>
      <c r="L13" s="42">
        <f t="shared" si="7"/>
        <v>5887.385262243879</v>
      </c>
      <c r="M13" s="42">
        <f t="shared" si="1"/>
        <v>706.48623146926548</v>
      </c>
      <c r="N13" s="42">
        <f t="shared" si="8"/>
        <v>6593.8714937131444</v>
      </c>
    </row>
    <row r="14" spans="1:14" ht="17" customHeight="1" x14ac:dyDescent="0.4">
      <c r="E14" s="72">
        <v>12</v>
      </c>
      <c r="F14" s="46">
        <f>F13+1</f>
        <v>51</v>
      </c>
      <c r="G14" s="75">
        <f t="shared" si="2"/>
        <v>89.52295020441494</v>
      </c>
      <c r="H14" s="42">
        <f>J13-G14</f>
        <v>11131.722552536812</v>
      </c>
      <c r="I14" s="42">
        <f t="shared" si="0"/>
        <v>1335.8067063044175</v>
      </c>
      <c r="J14" s="42">
        <f t="shared" si="6"/>
        <v>12467.52925884123</v>
      </c>
      <c r="K14" s="75">
        <f>N13*$C$8</f>
        <v>395.63228962278868</v>
      </c>
      <c r="L14" s="42">
        <f>N13-K14</f>
        <v>6198.239204090356</v>
      </c>
      <c r="M14" s="42">
        <f t="shared" si="1"/>
        <v>743.78870449084275</v>
      </c>
      <c r="N14" s="42">
        <f t="shared" si="8"/>
        <v>6942.027908581199</v>
      </c>
    </row>
    <row r="15" spans="1:14" x14ac:dyDescent="0.4">
      <c r="E15" s="72">
        <v>13</v>
      </c>
      <c r="F15" s="46">
        <f t="shared" si="4"/>
        <v>52</v>
      </c>
      <c r="G15" s="75">
        <f t="shared" si="2"/>
        <v>91.313409208503259</v>
      </c>
      <c r="H15" s="42">
        <f t="shared" si="5"/>
        <v>12376.215849632727</v>
      </c>
      <c r="I15" s="42">
        <f t="shared" si="0"/>
        <v>1485.1459019559272</v>
      </c>
      <c r="J15" s="42">
        <f t="shared" si="6"/>
        <v>13861.361751588654</v>
      </c>
      <c r="K15" s="75">
        <f t="shared" si="3"/>
        <v>416.5216745148719</v>
      </c>
      <c r="L15" s="42">
        <f t="shared" si="7"/>
        <v>6525.5062340663271</v>
      </c>
      <c r="M15" s="42">
        <f t="shared" si="1"/>
        <v>783.06074808795927</v>
      </c>
      <c r="N15" s="42">
        <f t="shared" si="8"/>
        <v>7308.5669821542861</v>
      </c>
    </row>
    <row r="16" spans="1:14" x14ac:dyDescent="0.4">
      <c r="E16" s="72">
        <v>14</v>
      </c>
      <c r="F16" s="46">
        <f t="shared" si="4"/>
        <v>53</v>
      </c>
      <c r="G16" s="75">
        <f t="shared" si="2"/>
        <v>93.13967739267332</v>
      </c>
      <c r="H16" s="42">
        <f t="shared" si="5"/>
        <v>13768.222074195981</v>
      </c>
      <c r="I16" s="42">
        <f t="shared" si="0"/>
        <v>1652.1866489035176</v>
      </c>
      <c r="J16" s="42">
        <f t="shared" si="6"/>
        <v>15420.408723099499</v>
      </c>
      <c r="K16" s="75">
        <f t="shared" si="3"/>
        <v>438.51401892925713</v>
      </c>
      <c r="L16" s="42">
        <f t="shared" si="7"/>
        <v>6870.0529632250291</v>
      </c>
      <c r="M16" s="42">
        <f t="shared" si="1"/>
        <v>824.40635558700342</v>
      </c>
      <c r="N16" s="42">
        <f t="shared" si="8"/>
        <v>7694.4593188120325</v>
      </c>
    </row>
    <row r="17" spans="5:14" x14ac:dyDescent="0.4">
      <c r="E17" s="72">
        <v>15</v>
      </c>
      <c r="F17" s="46">
        <f t="shared" si="4"/>
        <v>54</v>
      </c>
      <c r="G17" s="75">
        <f t="shared" si="2"/>
        <v>95.002470940526791</v>
      </c>
      <c r="H17" s="42">
        <f t="shared" si="5"/>
        <v>15325.406252158973</v>
      </c>
      <c r="I17" s="42">
        <f t="shared" si="0"/>
        <v>1839.0487502590768</v>
      </c>
      <c r="J17" s="42">
        <f t="shared" si="6"/>
        <v>17164.45500241805</v>
      </c>
      <c r="K17" s="75">
        <f t="shared" si="3"/>
        <v>461.6675591287219</v>
      </c>
      <c r="L17" s="42">
        <f t="shared" si="7"/>
        <v>7232.7917596833104</v>
      </c>
      <c r="M17" s="42">
        <f t="shared" si="1"/>
        <v>867.93501116199718</v>
      </c>
      <c r="N17" s="42">
        <f t="shared" si="8"/>
        <v>8100.7267708453073</v>
      </c>
    </row>
    <row r="18" spans="5:14" x14ac:dyDescent="0.4">
      <c r="E18" s="72">
        <v>16</v>
      </c>
      <c r="F18" s="46">
        <f t="shared" si="4"/>
        <v>55</v>
      </c>
      <c r="G18" s="75">
        <f t="shared" si="2"/>
        <v>96.902520359337302</v>
      </c>
      <c r="H18" s="42">
        <f t="shared" si="5"/>
        <v>17067.552482058712</v>
      </c>
      <c r="I18" s="42">
        <f t="shared" si="0"/>
        <v>2048.1062978470454</v>
      </c>
      <c r="J18" s="42">
        <f t="shared" si="6"/>
        <v>19115.65877990576</v>
      </c>
      <c r="K18" s="75">
        <f t="shared" si="3"/>
        <v>486.04360625071843</v>
      </c>
      <c r="L18" s="42">
        <f t="shared" si="7"/>
        <v>7614.6831645945886</v>
      </c>
      <c r="M18" s="42">
        <f t="shared" si="1"/>
        <v>913.76197975135062</v>
      </c>
      <c r="N18" s="42">
        <f t="shared" si="8"/>
        <v>8528.4451443459384</v>
      </c>
    </row>
    <row r="19" spans="5:14" x14ac:dyDescent="0.4">
      <c r="E19" s="72">
        <v>17</v>
      </c>
      <c r="F19" s="46">
        <f t="shared" si="4"/>
        <v>56</v>
      </c>
      <c r="G19" s="75">
        <f t="shared" si="2"/>
        <v>98.840570766524067</v>
      </c>
      <c r="H19" s="42">
        <f t="shared" si="5"/>
        <v>19016.818209139237</v>
      </c>
      <c r="I19" s="42">
        <f t="shared" si="0"/>
        <v>2282.0181850967083</v>
      </c>
      <c r="J19" s="42">
        <f t="shared" si="6"/>
        <v>21298.836394235946</v>
      </c>
      <c r="K19" s="75">
        <f t="shared" si="3"/>
        <v>511.70670866075631</v>
      </c>
      <c r="L19" s="42">
        <f t="shared" si="7"/>
        <v>8016.7384356851817</v>
      </c>
      <c r="M19" s="42">
        <f t="shared" si="1"/>
        <v>962.00861228222175</v>
      </c>
      <c r="N19" s="42">
        <f t="shared" si="8"/>
        <v>8978.747047967403</v>
      </c>
    </row>
    <row r="20" spans="5:14" x14ac:dyDescent="0.4">
      <c r="E20" s="72">
        <v>18</v>
      </c>
      <c r="F20" s="46">
        <f t="shared" si="4"/>
        <v>57</v>
      </c>
      <c r="G20" s="75">
        <f t="shared" si="2"/>
        <v>100.81738218185455</v>
      </c>
      <c r="H20" s="42">
        <f t="shared" si="5"/>
        <v>21198.019012054094</v>
      </c>
      <c r="I20" s="42">
        <f t="shared" si="0"/>
        <v>2543.7622814464912</v>
      </c>
      <c r="J20" s="42">
        <f t="shared" si="6"/>
        <v>23741.781293500586</v>
      </c>
      <c r="K20" s="75">
        <f t="shared" si="3"/>
        <v>538.72482287804417</v>
      </c>
      <c r="L20" s="42">
        <f t="shared" si="7"/>
        <v>8440.0222250893585</v>
      </c>
      <c r="M20" s="42">
        <f t="shared" si="1"/>
        <v>1012.802667010723</v>
      </c>
      <c r="N20" s="42">
        <f t="shared" si="8"/>
        <v>9452.8248921000813</v>
      </c>
    </row>
    <row r="21" spans="5:14" x14ac:dyDescent="0.4">
      <c r="E21" s="72">
        <v>19</v>
      </c>
      <c r="F21" s="46">
        <f t="shared" si="4"/>
        <v>58</v>
      </c>
      <c r="G21" s="75">
        <f t="shared" si="2"/>
        <v>102.83372982549163</v>
      </c>
      <c r="H21" s="42">
        <f t="shared" si="5"/>
        <v>23638.947563675094</v>
      </c>
      <c r="I21" s="42">
        <f t="shared" si="0"/>
        <v>2836.6737076410113</v>
      </c>
      <c r="J21" s="42">
        <f t="shared" si="6"/>
        <v>26475.621271316104</v>
      </c>
      <c r="K21" s="75">
        <f t="shared" si="3"/>
        <v>567.16949352600489</v>
      </c>
      <c r="L21" s="42">
        <f t="shared" si="7"/>
        <v>8885.6553985740757</v>
      </c>
      <c r="M21" s="42">
        <f t="shared" si="1"/>
        <v>1066.278647828889</v>
      </c>
      <c r="N21" s="42">
        <f t="shared" si="8"/>
        <v>9951.9340464029647</v>
      </c>
    </row>
    <row r="22" spans="5:14" x14ac:dyDescent="0.4">
      <c r="E22" s="72">
        <v>20</v>
      </c>
      <c r="F22" s="46">
        <f t="shared" si="4"/>
        <v>59</v>
      </c>
      <c r="G22" s="75">
        <f t="shared" si="2"/>
        <v>104.89040442200147</v>
      </c>
      <c r="H22" s="42">
        <f t="shared" si="5"/>
        <v>26370.730866894104</v>
      </c>
      <c r="I22" s="42">
        <f t="shared" si="0"/>
        <v>3164.4877040272922</v>
      </c>
      <c r="J22" s="42">
        <f t="shared" si="6"/>
        <v>29535.218570921395</v>
      </c>
      <c r="K22" s="75">
        <f t="shared" si="3"/>
        <v>597.11604278417781</v>
      </c>
      <c r="L22" s="42">
        <f t="shared" si="7"/>
        <v>9354.8180036187878</v>
      </c>
      <c r="M22" s="42">
        <f t="shared" si="1"/>
        <v>1122.5781604342544</v>
      </c>
      <c r="N22" s="42">
        <f t="shared" si="8"/>
        <v>10477.396164053042</v>
      </c>
    </row>
    <row r="23" spans="5:14" x14ac:dyDescent="0.4">
      <c r="E23" s="72">
        <v>21</v>
      </c>
      <c r="F23" s="46">
        <f t="shared" si="4"/>
        <v>60</v>
      </c>
      <c r="G23" s="75">
        <f t="shared" si="2"/>
        <v>106.9882125104415</v>
      </c>
      <c r="H23" s="42">
        <f t="shared" si="5"/>
        <v>29428.230358410954</v>
      </c>
      <c r="I23" s="42">
        <f t="shared" si="0"/>
        <v>3531.3876430093142</v>
      </c>
      <c r="J23" s="42">
        <f t="shared" si="6"/>
        <v>32959.618001420269</v>
      </c>
      <c r="K23" s="75">
        <f t="shared" si="3"/>
        <v>628.64376984318244</v>
      </c>
      <c r="L23" s="42">
        <f t="shared" si="7"/>
        <v>9848.7523942098596</v>
      </c>
      <c r="M23" s="42">
        <f t="shared" si="1"/>
        <v>1181.8502873051832</v>
      </c>
      <c r="N23" s="42">
        <f t="shared" si="8"/>
        <v>11030.602681515044</v>
      </c>
    </row>
    <row r="24" spans="5:14" x14ac:dyDescent="0.4">
      <c r="E24" s="72">
        <v>22</v>
      </c>
      <c r="F24" s="46">
        <f t="shared" si="4"/>
        <v>61</v>
      </c>
      <c r="G24" s="75">
        <f t="shared" si="2"/>
        <v>109.12797676065033</v>
      </c>
      <c r="H24" s="42">
        <f t="shared" si="5"/>
        <v>32850.490024659615</v>
      </c>
      <c r="I24" s="42">
        <f t="shared" si="0"/>
        <v>3942.0588029591536</v>
      </c>
      <c r="J24" s="42">
        <f t="shared" si="6"/>
        <v>36792.548827618768</v>
      </c>
      <c r="K24" s="75">
        <f t="shared" si="3"/>
        <v>661.83616089090253</v>
      </c>
      <c r="L24" s="42">
        <f t="shared" si="7"/>
        <v>10368.766520624142</v>
      </c>
      <c r="M24" s="42">
        <f t="shared" si="1"/>
        <v>1244.251982474897</v>
      </c>
      <c r="N24" s="42">
        <f t="shared" si="8"/>
        <v>11613.01850309904</v>
      </c>
    </row>
    <row r="25" spans="5:14" x14ac:dyDescent="0.4">
      <c r="E25" s="72">
        <v>23</v>
      </c>
      <c r="F25" s="46">
        <f t="shared" si="4"/>
        <v>62</v>
      </c>
      <c r="G25" s="75">
        <f t="shared" si="2"/>
        <v>111.31053629586334</v>
      </c>
      <c r="H25" s="42">
        <f t="shared" si="5"/>
        <v>36681.238291322901</v>
      </c>
      <c r="I25" s="42">
        <f t="shared" si="0"/>
        <v>4401.7485949587481</v>
      </c>
      <c r="J25" s="42">
        <f t="shared" si="6"/>
        <v>41082.986886281651</v>
      </c>
      <c r="K25" s="75">
        <f t="shared" si="3"/>
        <v>696.78111018594234</v>
      </c>
      <c r="L25" s="42">
        <f t="shared" si="7"/>
        <v>10916.237392913097</v>
      </c>
      <c r="M25" s="42">
        <f t="shared" si="1"/>
        <v>1309.9484871495715</v>
      </c>
      <c r="N25" s="42">
        <f t="shared" si="8"/>
        <v>12226.185880062669</v>
      </c>
    </row>
    <row r="26" spans="5:14" x14ac:dyDescent="0.4">
      <c r="E26" s="72">
        <v>24</v>
      </c>
      <c r="F26" s="46">
        <f t="shared" si="4"/>
        <v>63</v>
      </c>
      <c r="G26" s="75">
        <f t="shared" si="2"/>
        <v>113.53674702178058</v>
      </c>
      <c r="H26" s="42">
        <f t="shared" si="5"/>
        <v>40969.450139259869</v>
      </c>
      <c r="I26" s="42">
        <f t="shared" si="0"/>
        <v>4916.3340167111837</v>
      </c>
      <c r="J26" s="42">
        <f t="shared" si="6"/>
        <v>45885.78415597105</v>
      </c>
      <c r="K26" s="75">
        <f t="shared" si="3"/>
        <v>733.57115280376013</v>
      </c>
      <c r="L26" s="42">
        <f t="shared" si="7"/>
        <v>11492.614727258908</v>
      </c>
      <c r="M26" s="42">
        <f t="shared" si="1"/>
        <v>1379.1137672710688</v>
      </c>
      <c r="N26" s="42">
        <f t="shared" si="8"/>
        <v>12871.728494529976</v>
      </c>
    </row>
    <row r="27" spans="5:14" x14ac:dyDescent="0.4">
      <c r="E27" s="72">
        <v>25</v>
      </c>
      <c r="F27" s="46">
        <f t="shared" si="4"/>
        <v>64</v>
      </c>
      <c r="G27" s="75">
        <f t="shared" si="2"/>
        <v>115.8074819622162</v>
      </c>
      <c r="H27" s="42">
        <f t="shared" si="5"/>
        <v>45769.976674008831</v>
      </c>
      <c r="I27" s="42">
        <f t="shared" si="0"/>
        <v>5492.3972008810597</v>
      </c>
      <c r="J27" s="42">
        <f t="shared" si="6"/>
        <v>51262.37387488989</v>
      </c>
      <c r="K27" s="75">
        <f t="shared" si="3"/>
        <v>772.30370967179852</v>
      </c>
      <c r="L27" s="42">
        <f t="shared" si="7"/>
        <v>12099.424784858178</v>
      </c>
      <c r="M27" s="42">
        <f t="shared" si="1"/>
        <v>1451.9309741829813</v>
      </c>
      <c r="N27" s="42">
        <f t="shared" si="8"/>
        <v>13551.35575904116</v>
      </c>
    </row>
    <row r="28" spans="5:14" x14ac:dyDescent="0.4">
      <c r="E28" s="72">
        <v>26</v>
      </c>
      <c r="F28" s="46">
        <f t="shared" si="4"/>
        <v>65</v>
      </c>
      <c r="G28" s="75">
        <f t="shared" si="2"/>
        <v>118.12363160146053</v>
      </c>
      <c r="H28" s="42">
        <f t="shared" si="5"/>
        <v>51144.250243288428</v>
      </c>
      <c r="I28" s="42">
        <f t="shared" si="0"/>
        <v>6137.3100291946112</v>
      </c>
      <c r="J28" s="42">
        <f t="shared" si="6"/>
        <v>57281.560272483039</v>
      </c>
      <c r="K28" s="75">
        <f t="shared" si="3"/>
        <v>813.08134554246953</v>
      </c>
      <c r="L28" s="42">
        <f t="shared" si="7"/>
        <v>12738.27441349869</v>
      </c>
      <c r="M28" s="42">
        <f t="shared" si="1"/>
        <v>1528.5929296198426</v>
      </c>
      <c r="N28" s="42">
        <f t="shared" si="8"/>
        <v>14266.867343118533</v>
      </c>
    </row>
    <row r="29" spans="5:14" x14ac:dyDescent="0.4">
      <c r="E29" s="72">
        <v>27</v>
      </c>
      <c r="F29" s="46">
        <f t="shared" si="4"/>
        <v>66</v>
      </c>
      <c r="G29" s="75">
        <f t="shared" si="2"/>
        <v>120.48610423348975</v>
      </c>
      <c r="H29" s="42">
        <f t="shared" si="5"/>
        <v>57161.07416824955</v>
      </c>
      <c r="I29" s="42">
        <f t="shared" si="0"/>
        <v>6859.3289001899457</v>
      </c>
      <c r="J29" s="42">
        <f t="shared" si="6"/>
        <v>64020.403068439497</v>
      </c>
      <c r="K29" s="75">
        <f t="shared" si="3"/>
        <v>856.01204058711187</v>
      </c>
      <c r="L29" s="42">
        <f t="shared" si="7"/>
        <v>13410.855302531421</v>
      </c>
      <c r="M29" s="42">
        <f t="shared" si="1"/>
        <v>1609.3026363037704</v>
      </c>
      <c r="N29" s="42">
        <f t="shared" si="8"/>
        <v>15020.157938835191</v>
      </c>
    </row>
    <row r="30" spans="5:14" x14ac:dyDescent="0.4">
      <c r="E30" s="72">
        <v>28</v>
      </c>
      <c r="F30" s="46">
        <f t="shared" si="4"/>
        <v>67</v>
      </c>
      <c r="G30" s="75">
        <f t="shared" si="2"/>
        <v>122.89582631815952</v>
      </c>
      <c r="H30" s="42">
        <f t="shared" si="5"/>
        <v>63897.507242121334</v>
      </c>
      <c r="I30" s="42">
        <f t="shared" si="0"/>
        <v>7667.7008690545599</v>
      </c>
      <c r="J30" s="42">
        <f t="shared" si="6"/>
        <v>71565.208111175889</v>
      </c>
      <c r="K30" s="75">
        <f t="shared" si="3"/>
        <v>901.20947633011144</v>
      </c>
      <c r="L30" s="42">
        <f t="shared" si="7"/>
        <v>14118.948462505079</v>
      </c>
      <c r="M30" s="42">
        <f t="shared" si="1"/>
        <v>1694.2738155006093</v>
      </c>
      <c r="N30" s="42">
        <f t="shared" si="8"/>
        <v>15813.222278005689</v>
      </c>
    </row>
    <row r="31" spans="5:14" x14ac:dyDescent="0.4">
      <c r="E31" s="72">
        <v>29</v>
      </c>
      <c r="F31" s="46">
        <f t="shared" si="4"/>
        <v>68</v>
      </c>
      <c r="G31" s="75">
        <f t="shared" si="2"/>
        <v>125.35374284452274</v>
      </c>
      <c r="H31" s="42">
        <f t="shared" si="5"/>
        <v>71439.854368331362</v>
      </c>
      <c r="I31" s="42">
        <f t="shared" si="0"/>
        <v>8572.7825241997634</v>
      </c>
      <c r="J31" s="42">
        <f t="shared" si="6"/>
        <v>80012.636892531125</v>
      </c>
      <c r="K31" s="75">
        <f t="shared" si="3"/>
        <v>948.79333668034133</v>
      </c>
      <c r="L31" s="42">
        <f t="shared" si="7"/>
        <v>14864.428941325348</v>
      </c>
      <c r="M31" s="42">
        <f t="shared" si="1"/>
        <v>1783.7314729590416</v>
      </c>
      <c r="N31" s="42">
        <f t="shared" si="8"/>
        <v>16648.16041428439</v>
      </c>
    </row>
    <row r="32" spans="5:14" x14ac:dyDescent="0.4">
      <c r="E32" s="72">
        <v>30</v>
      </c>
      <c r="F32" s="46">
        <f t="shared" si="4"/>
        <v>69</v>
      </c>
      <c r="G32" s="75">
        <f t="shared" si="2"/>
        <v>127.86081770141317</v>
      </c>
      <c r="H32" s="42">
        <f t="shared" si="5"/>
        <v>79884.776074829715</v>
      </c>
      <c r="I32" s="42">
        <f t="shared" si="0"/>
        <v>9586.1731289795662</v>
      </c>
      <c r="J32" s="42">
        <f t="shared" si="6"/>
        <v>89470.949203809287</v>
      </c>
      <c r="K32" s="75">
        <f t="shared" si="3"/>
        <v>998.88962485706338</v>
      </c>
      <c r="L32" s="42">
        <f t="shared" si="7"/>
        <v>15649.270789427326</v>
      </c>
      <c r="M32" s="42">
        <f t="shared" si="1"/>
        <v>1877.9124947312791</v>
      </c>
      <c r="N32" s="42">
        <f t="shared" si="8"/>
        <v>17527.183284158604</v>
      </c>
    </row>
    <row r="33" spans="5:14" x14ac:dyDescent="0.4">
      <c r="E33" s="72">
        <v>31</v>
      </c>
      <c r="F33" s="46">
        <f t="shared" si="4"/>
        <v>70</v>
      </c>
      <c r="G33" s="75">
        <f t="shared" si="2"/>
        <v>130.41803405544144</v>
      </c>
      <c r="H33" s="42">
        <f t="shared" si="5"/>
        <v>89340.531169753842</v>
      </c>
      <c r="I33" s="42">
        <f t="shared" si="0"/>
        <v>10720.863740370462</v>
      </c>
      <c r="J33" s="42">
        <f t="shared" si="6"/>
        <v>100061.39491012431</v>
      </c>
      <c r="K33" s="75">
        <f t="shared" si="3"/>
        <v>1051.6309970495163</v>
      </c>
      <c r="L33" s="42">
        <f t="shared" si="7"/>
        <v>16475.552287109087</v>
      </c>
      <c r="M33" s="42">
        <f t="shared" si="1"/>
        <v>1977.0662744530903</v>
      </c>
      <c r="N33" s="42">
        <f t="shared" si="8"/>
        <v>18452.618561562176</v>
      </c>
    </row>
    <row r="34" spans="5:14" x14ac:dyDescent="0.4">
      <c r="E34" s="72">
        <v>32</v>
      </c>
      <c r="F34" s="46">
        <f t="shared" si="4"/>
        <v>71</v>
      </c>
      <c r="G34" s="75">
        <f t="shared" si="2"/>
        <v>133.02639473655026</v>
      </c>
      <c r="H34" s="42">
        <f t="shared" si="5"/>
        <v>99928.36851538776</v>
      </c>
      <c r="I34" s="42">
        <f t="shared" si="0"/>
        <v>11991.404221846531</v>
      </c>
      <c r="J34" s="42">
        <f t="shared" si="6"/>
        <v>111919.77273723429</v>
      </c>
      <c r="K34" s="75">
        <f t="shared" si="3"/>
        <v>1107.1571136937305</v>
      </c>
      <c r="L34" s="42">
        <f t="shared" si="7"/>
        <v>17345.461447868445</v>
      </c>
      <c r="M34" s="42">
        <f t="shared" si="1"/>
        <v>2081.4553737442134</v>
      </c>
      <c r="N34" s="42">
        <f t="shared" si="8"/>
        <v>19426.91682161266</v>
      </c>
    </row>
    <row r="35" spans="5:14" x14ac:dyDescent="0.4">
      <c r="E35" s="72">
        <v>33</v>
      </c>
      <c r="F35" s="46">
        <f t="shared" si="4"/>
        <v>72</v>
      </c>
      <c r="G35" s="75">
        <f t="shared" si="2"/>
        <v>135.68692263128128</v>
      </c>
      <c r="H35" s="42">
        <f t="shared" si="5"/>
        <v>111784.08581460301</v>
      </c>
      <c r="I35" s="42">
        <f t="shared" ref="I35:I63" si="9">H35*$C$10</f>
        <v>13414.09029775236</v>
      </c>
      <c r="J35" s="42">
        <f t="shared" si="6"/>
        <v>125198.17611235537</v>
      </c>
      <c r="K35" s="75">
        <f t="shared" si="3"/>
        <v>1165.6150092967596</v>
      </c>
      <c r="L35" s="42">
        <f t="shared" si="7"/>
        <v>18261.301812315902</v>
      </c>
      <c r="M35" s="42">
        <f t="shared" ref="M35:M63" si="10">L35*$C$10</f>
        <v>2191.3562174779081</v>
      </c>
      <c r="N35" s="42">
        <f t="shared" si="8"/>
        <v>20452.658029793809</v>
      </c>
    </row>
    <row r="36" spans="5:14" x14ac:dyDescent="0.4">
      <c r="E36" s="72">
        <v>34</v>
      </c>
      <c r="F36" s="46">
        <f t="shared" si="4"/>
        <v>73</v>
      </c>
      <c r="G36" s="75">
        <f t="shared" si="2"/>
        <v>138.40066108390693</v>
      </c>
      <c r="H36" s="42">
        <f t="shared" si="5"/>
        <v>125059.77545127146</v>
      </c>
      <c r="I36" s="42">
        <f t="shared" si="9"/>
        <v>15007.173054152574</v>
      </c>
      <c r="J36" s="42">
        <f t="shared" si="6"/>
        <v>140066.94850542402</v>
      </c>
      <c r="K36" s="75">
        <f t="shared" ref="K36:K63" si="11">N35*$C$8</f>
        <v>1227.1594817876285</v>
      </c>
      <c r="L36" s="42">
        <f t="shared" si="7"/>
        <v>19225.49854800618</v>
      </c>
      <c r="M36" s="42">
        <f t="shared" si="10"/>
        <v>2307.0598257607417</v>
      </c>
      <c r="N36" s="42">
        <f t="shared" si="8"/>
        <v>21532.558373766922</v>
      </c>
    </row>
    <row r="37" spans="5:14" x14ac:dyDescent="0.4">
      <c r="E37" s="72">
        <v>35</v>
      </c>
      <c r="F37" s="46">
        <f t="shared" si="4"/>
        <v>74</v>
      </c>
      <c r="G37" s="75">
        <f t="shared" si="2"/>
        <v>141.16867430558503</v>
      </c>
      <c r="H37" s="42">
        <f t="shared" si="5"/>
        <v>139925.77983111845</v>
      </c>
      <c r="I37" s="42">
        <f t="shared" si="9"/>
        <v>16791.093579734214</v>
      </c>
      <c r="J37" s="42">
        <f t="shared" si="6"/>
        <v>156716.87341085266</v>
      </c>
      <c r="K37" s="75">
        <f t="shared" si="11"/>
        <v>1291.9535024260153</v>
      </c>
      <c r="L37" s="42">
        <f t="shared" si="7"/>
        <v>20240.604871340907</v>
      </c>
      <c r="M37" s="42">
        <f t="shared" si="10"/>
        <v>2428.8725845609088</v>
      </c>
      <c r="N37" s="42">
        <f t="shared" si="8"/>
        <v>22669.477455901815</v>
      </c>
    </row>
    <row r="38" spans="5:14" x14ac:dyDescent="0.4">
      <c r="E38" s="72">
        <v>36</v>
      </c>
      <c r="F38" s="46">
        <f t="shared" si="4"/>
        <v>75</v>
      </c>
      <c r="G38" s="75">
        <f t="shared" si="2"/>
        <v>143.99204779169673</v>
      </c>
      <c r="H38" s="42">
        <f t="shared" si="5"/>
        <v>156572.88136306097</v>
      </c>
      <c r="I38" s="42">
        <f t="shared" si="9"/>
        <v>18788.745763567316</v>
      </c>
      <c r="J38" s="42">
        <f t="shared" si="6"/>
        <v>175361.62712662827</v>
      </c>
      <c r="K38" s="75">
        <f t="shared" si="11"/>
        <v>1360.1686473541088</v>
      </c>
      <c r="L38" s="42">
        <f t="shared" si="7"/>
        <v>21309.308808547707</v>
      </c>
      <c r="M38" s="42">
        <f t="shared" si="10"/>
        <v>2557.1170570257245</v>
      </c>
      <c r="N38" s="42">
        <f t="shared" si="8"/>
        <v>23866.42586557343</v>
      </c>
    </row>
    <row r="39" spans="5:14" x14ac:dyDescent="0.4">
      <c r="E39" s="72">
        <v>37</v>
      </c>
      <c r="F39" s="46">
        <f t="shared" si="4"/>
        <v>76</v>
      </c>
      <c r="G39" s="75">
        <f t="shared" si="2"/>
        <v>146.87188874753068</v>
      </c>
      <c r="H39" s="42">
        <f t="shared" si="5"/>
        <v>175214.75523788074</v>
      </c>
      <c r="I39" s="42">
        <f t="shared" si="9"/>
        <v>21025.770628545688</v>
      </c>
      <c r="J39" s="42">
        <f t="shared" si="6"/>
        <v>196240.52586642644</v>
      </c>
      <c r="K39" s="75">
        <f t="shared" si="11"/>
        <v>1431.9855519344057</v>
      </c>
      <c r="L39" s="42">
        <f t="shared" si="7"/>
        <v>22434.440313639025</v>
      </c>
      <c r="M39" s="42">
        <f t="shared" si="10"/>
        <v>2692.1328376366828</v>
      </c>
      <c r="N39" s="42">
        <f t="shared" si="8"/>
        <v>25126.573151275708</v>
      </c>
    </row>
    <row r="40" spans="5:14" x14ac:dyDescent="0.4">
      <c r="E40" s="72">
        <v>38</v>
      </c>
      <c r="F40" s="46">
        <f t="shared" si="4"/>
        <v>77</v>
      </c>
      <c r="G40" s="75">
        <f t="shared" si="2"/>
        <v>149.80932652248129</v>
      </c>
      <c r="H40" s="42">
        <f t="shared" si="5"/>
        <v>196090.71653990395</v>
      </c>
      <c r="I40" s="42">
        <f t="shared" si="9"/>
        <v>23530.885984788474</v>
      </c>
      <c r="J40" s="42">
        <f t="shared" si="6"/>
        <v>219621.60252469243</v>
      </c>
      <c r="K40" s="75">
        <f t="shared" si="11"/>
        <v>1507.5943890765425</v>
      </c>
      <c r="L40" s="42">
        <f t="shared" si="7"/>
        <v>23618.978762199167</v>
      </c>
      <c r="M40" s="42">
        <f t="shared" si="10"/>
        <v>2834.2774514639</v>
      </c>
      <c r="N40" s="42">
        <f t="shared" si="8"/>
        <v>26453.256213663066</v>
      </c>
    </row>
    <row r="41" spans="5:14" x14ac:dyDescent="0.4">
      <c r="E41" s="72">
        <v>39</v>
      </c>
      <c r="F41" s="46">
        <f t="shared" si="4"/>
        <v>78</v>
      </c>
      <c r="G41" s="75">
        <f t="shared" si="2"/>
        <v>152.80551305293093</v>
      </c>
      <c r="H41" s="42">
        <f t="shared" si="5"/>
        <v>219468.79701163949</v>
      </c>
      <c r="I41" s="42">
        <f t="shared" si="9"/>
        <v>26336.255641396736</v>
      </c>
      <c r="J41" s="42">
        <f t="shared" si="6"/>
        <v>245805.05265303623</v>
      </c>
      <c r="K41" s="75">
        <f t="shared" si="11"/>
        <v>1587.1953728197839</v>
      </c>
      <c r="L41" s="42">
        <f t="shared" si="7"/>
        <v>24866.060840843282</v>
      </c>
      <c r="M41" s="42">
        <f t="shared" si="10"/>
        <v>2983.9273009011936</v>
      </c>
      <c r="N41" s="42">
        <f t="shared" si="8"/>
        <v>27849.988141744474</v>
      </c>
    </row>
    <row r="42" spans="5:14" x14ac:dyDescent="0.4">
      <c r="E42" s="72">
        <v>40</v>
      </c>
      <c r="F42" s="46">
        <f t="shared" si="4"/>
        <v>79</v>
      </c>
      <c r="G42" s="75">
        <f t="shared" si="2"/>
        <v>155.8616233139895</v>
      </c>
      <c r="H42" s="42">
        <f t="shared" si="5"/>
        <v>245649.19102972225</v>
      </c>
      <c r="I42" s="42">
        <f t="shared" si="9"/>
        <v>29477.902923566668</v>
      </c>
      <c r="J42" s="42">
        <f t="shared" si="6"/>
        <v>275127.09395328892</v>
      </c>
      <c r="K42" s="75">
        <f t="shared" si="11"/>
        <v>1670.9992885046684</v>
      </c>
      <c r="L42" s="42">
        <f t="shared" si="7"/>
        <v>26178.988853239807</v>
      </c>
      <c r="M42" s="42">
        <f t="shared" si="10"/>
        <v>3141.4786623887767</v>
      </c>
      <c r="N42" s="42">
        <f t="shared" si="8"/>
        <v>29320.467515628585</v>
      </c>
    </row>
    <row r="43" spans="5:14" x14ac:dyDescent="0.4">
      <c r="E43" s="72">
        <v>41</v>
      </c>
      <c r="F43" s="46">
        <f t="shared" si="4"/>
        <v>80</v>
      </c>
      <c r="G43" s="75">
        <f t="shared" si="2"/>
        <v>158.97885578026933</v>
      </c>
      <c r="H43" s="42">
        <f t="shared" si="5"/>
        <v>274968.11509750865</v>
      </c>
      <c r="I43" s="42">
        <f t="shared" si="9"/>
        <v>32996.173811701039</v>
      </c>
      <c r="J43" s="42">
        <f t="shared" si="6"/>
        <v>307964.28890920966</v>
      </c>
      <c r="K43" s="75">
        <f t="shared" si="11"/>
        <v>1759.2280509377151</v>
      </c>
      <c r="L43" s="42">
        <f t="shared" si="7"/>
        <v>27561.239464690869</v>
      </c>
      <c r="M43" s="42">
        <f t="shared" si="10"/>
        <v>3307.3487357629042</v>
      </c>
      <c r="N43" s="42">
        <f t="shared" si="8"/>
        <v>30868.588200453774</v>
      </c>
    </row>
    <row r="44" spans="5:14" x14ac:dyDescent="0.4">
      <c r="E44" s="72">
        <v>42</v>
      </c>
      <c r="F44" s="46">
        <f t="shared" si="4"/>
        <v>81</v>
      </c>
      <c r="G44" s="75">
        <f t="shared" si="2"/>
        <v>162.15843289587471</v>
      </c>
      <c r="H44" s="42">
        <f t="shared" si="5"/>
        <v>307802.13047631376</v>
      </c>
      <c r="I44" s="42">
        <f t="shared" si="9"/>
        <v>36936.25565715765</v>
      </c>
      <c r="J44" s="42">
        <f t="shared" si="6"/>
        <v>344738.38613347139</v>
      </c>
      <c r="K44" s="75">
        <f t="shared" si="11"/>
        <v>1852.1152920272264</v>
      </c>
      <c r="L44" s="42">
        <f t="shared" si="7"/>
        <v>29016.472908426549</v>
      </c>
      <c r="M44" s="42">
        <f t="shared" si="10"/>
        <v>3481.9767490111858</v>
      </c>
      <c r="N44" s="42">
        <f t="shared" si="8"/>
        <v>32498.449657437734</v>
      </c>
    </row>
    <row r="45" spans="5:14" x14ac:dyDescent="0.4">
      <c r="E45" s="72">
        <v>43</v>
      </c>
      <c r="F45" s="46">
        <f t="shared" si="4"/>
        <v>82</v>
      </c>
      <c r="G45" s="75">
        <f t="shared" si="2"/>
        <v>165.4016015537922</v>
      </c>
      <c r="H45" s="42">
        <f t="shared" si="5"/>
        <v>344572.98453191761</v>
      </c>
      <c r="I45" s="42">
        <f t="shared" si="9"/>
        <v>41348.758143830113</v>
      </c>
      <c r="J45" s="42">
        <f t="shared" si="6"/>
        <v>385921.74267574772</v>
      </c>
      <c r="K45" s="75">
        <f t="shared" si="11"/>
        <v>1949.9069794462639</v>
      </c>
      <c r="L45" s="42">
        <f t="shared" si="7"/>
        <v>30548.542677991471</v>
      </c>
      <c r="M45" s="42">
        <f t="shared" si="10"/>
        <v>3665.8251213589765</v>
      </c>
      <c r="N45" s="42">
        <f t="shared" si="8"/>
        <v>34214.367799350446</v>
      </c>
    </row>
    <row r="46" spans="5:14" x14ac:dyDescent="0.4">
      <c r="E46" s="72">
        <v>44</v>
      </c>
      <c r="F46" s="46">
        <f t="shared" si="4"/>
        <v>83</v>
      </c>
      <c r="G46" s="75">
        <f t="shared" si="2"/>
        <v>168.70963358486802</v>
      </c>
      <c r="H46" s="42">
        <f t="shared" si="5"/>
        <v>385753.03304216283</v>
      </c>
      <c r="I46" s="42">
        <f t="shared" si="9"/>
        <v>46290.363965059536</v>
      </c>
      <c r="J46" s="42">
        <f t="shared" si="6"/>
        <v>432043.39700722235</v>
      </c>
      <c r="K46" s="75">
        <f t="shared" si="11"/>
        <v>2052.8620679610267</v>
      </c>
      <c r="L46" s="42">
        <f t="shared" si="7"/>
        <v>32161.505731389421</v>
      </c>
      <c r="M46" s="42">
        <f t="shared" si="10"/>
        <v>3859.3806877667303</v>
      </c>
      <c r="N46" s="42">
        <f t="shared" si="8"/>
        <v>36020.886419156152</v>
      </c>
    </row>
    <row r="47" spans="5:14" x14ac:dyDescent="0.4">
      <c r="E47" s="72">
        <v>45</v>
      </c>
      <c r="F47" s="46">
        <f t="shared" si="4"/>
        <v>84</v>
      </c>
      <c r="G47" s="75">
        <f t="shared" si="2"/>
        <v>172.08382625656543</v>
      </c>
      <c r="H47" s="42">
        <f t="shared" si="5"/>
        <v>431871.31318096578</v>
      </c>
      <c r="I47" s="42">
        <f t="shared" si="9"/>
        <v>51824.55758171589</v>
      </c>
      <c r="J47" s="42">
        <f t="shared" si="6"/>
        <v>483695.87076268165</v>
      </c>
      <c r="K47" s="75">
        <f t="shared" si="11"/>
        <v>2161.2531851493691</v>
      </c>
      <c r="L47" s="42">
        <f t="shared" si="7"/>
        <v>33859.633234006782</v>
      </c>
      <c r="M47" s="42">
        <f t="shared" si="10"/>
        <v>4063.1559880808136</v>
      </c>
      <c r="N47" s="42">
        <f t="shared" si="8"/>
        <v>37922.789222087595</v>
      </c>
    </row>
    <row r="48" spans="5:14" x14ac:dyDescent="0.4">
      <c r="E48" s="72">
        <v>46</v>
      </c>
      <c r="F48" s="46">
        <f t="shared" si="4"/>
        <v>85</v>
      </c>
      <c r="G48" s="75">
        <f t="shared" si="2"/>
        <v>175.5255027816967</v>
      </c>
      <c r="H48" s="42">
        <f t="shared" si="5"/>
        <v>483520.34525989997</v>
      </c>
      <c r="I48" s="42">
        <f t="shared" si="9"/>
        <v>58022.441431187995</v>
      </c>
      <c r="J48" s="42">
        <f t="shared" si="6"/>
        <v>541542.786691088</v>
      </c>
      <c r="K48" s="75">
        <f t="shared" si="11"/>
        <v>2275.3673533252554</v>
      </c>
      <c r="L48" s="42">
        <f t="shared" si="7"/>
        <v>35647.421868762336</v>
      </c>
      <c r="M48" s="42">
        <f t="shared" si="10"/>
        <v>4277.6906242514806</v>
      </c>
      <c r="N48" s="42">
        <f t="shared" si="8"/>
        <v>39925.112493013818</v>
      </c>
    </row>
    <row r="49" spans="5:14" x14ac:dyDescent="0.4">
      <c r="E49" s="72">
        <v>47</v>
      </c>
      <c r="F49" s="46">
        <f t="shared" si="4"/>
        <v>86</v>
      </c>
      <c r="G49" s="75">
        <f t="shared" si="2"/>
        <v>179.03601283733067</v>
      </c>
      <c r="H49" s="42">
        <f t="shared" si="5"/>
        <v>541363.75067825068</v>
      </c>
      <c r="I49" s="42">
        <f t="shared" si="9"/>
        <v>64963.650081390078</v>
      </c>
      <c r="J49" s="42">
        <f t="shared" si="6"/>
        <v>606327.40075964073</v>
      </c>
      <c r="K49" s="75">
        <f t="shared" si="11"/>
        <v>2395.5067495808289</v>
      </c>
      <c r="L49" s="42">
        <f t="shared" si="7"/>
        <v>37529.605743432985</v>
      </c>
      <c r="M49" s="42">
        <f t="shared" si="10"/>
        <v>4503.5526892119578</v>
      </c>
      <c r="N49" s="42">
        <f t="shared" si="8"/>
        <v>42033.158432644945</v>
      </c>
    </row>
    <row r="50" spans="5:14" x14ac:dyDescent="0.4">
      <c r="E50" s="72">
        <v>48</v>
      </c>
      <c r="F50" s="46">
        <f t="shared" si="4"/>
        <v>87</v>
      </c>
      <c r="G50" s="75">
        <f t="shared" si="2"/>
        <v>182.61673309407723</v>
      </c>
      <c r="H50" s="42">
        <f t="shared" si="5"/>
        <v>606144.78402654664</v>
      </c>
      <c r="I50" s="42">
        <f t="shared" si="9"/>
        <v>72737.374083185598</v>
      </c>
      <c r="J50" s="42">
        <f t="shared" si="6"/>
        <v>678882.15810973221</v>
      </c>
      <c r="K50" s="75">
        <f t="shared" si="11"/>
        <v>2521.9895059586966</v>
      </c>
      <c r="L50" s="42">
        <f t="shared" si="7"/>
        <v>39511.168926686245</v>
      </c>
      <c r="M50" s="42">
        <f t="shared" si="10"/>
        <v>4741.340271202349</v>
      </c>
      <c r="N50" s="42">
        <f t="shared" si="8"/>
        <v>44252.50919788859</v>
      </c>
    </row>
    <row r="51" spans="5:14" x14ac:dyDescent="0.4">
      <c r="E51" s="72">
        <v>49</v>
      </c>
      <c r="F51" s="46">
        <f t="shared" si="4"/>
        <v>88</v>
      </c>
      <c r="G51" s="75">
        <f t="shared" si="2"/>
        <v>186.26906775595879</v>
      </c>
      <c r="H51" s="42">
        <f t="shared" si="5"/>
        <v>678695.88904197619</v>
      </c>
      <c r="I51" s="42">
        <f t="shared" si="9"/>
        <v>81443.506685037137</v>
      </c>
      <c r="J51" s="42">
        <f t="shared" si="6"/>
        <v>760139.39572701335</v>
      </c>
      <c r="K51" s="75">
        <f t="shared" si="11"/>
        <v>2655.1505518733152</v>
      </c>
      <c r="L51" s="42">
        <f t="shared" si="7"/>
        <v>41597.358646015273</v>
      </c>
      <c r="M51" s="42">
        <f t="shared" si="10"/>
        <v>4991.6830375218324</v>
      </c>
      <c r="N51" s="42">
        <f t="shared" si="8"/>
        <v>46589.041683537107</v>
      </c>
    </row>
    <row r="52" spans="5:14" x14ac:dyDescent="0.4">
      <c r="E52" s="72">
        <v>50</v>
      </c>
      <c r="F52" s="46">
        <f>F51+1</f>
        <v>89</v>
      </c>
      <c r="G52" s="75">
        <f t="shared" si="2"/>
        <v>189.99444911107798</v>
      </c>
      <c r="H52" s="42">
        <f>J51-G52</f>
        <v>759949.4012779023</v>
      </c>
      <c r="I52" s="42">
        <f t="shared" si="9"/>
        <v>91193.928153348272</v>
      </c>
      <c r="J52" s="42">
        <f t="shared" si="6"/>
        <v>851143.32943125057</v>
      </c>
      <c r="K52" s="75">
        <f>N51*$C$8</f>
        <v>2795.3425010122264</v>
      </c>
      <c r="L52" s="42">
        <f>N51-K52</f>
        <v>43793.699182524884</v>
      </c>
      <c r="M52" s="42">
        <f t="shared" si="10"/>
        <v>5255.2439019029862</v>
      </c>
      <c r="N52" s="42">
        <f t="shared" si="8"/>
        <v>49048.943084427869</v>
      </c>
    </row>
    <row r="53" spans="5:14" x14ac:dyDescent="0.4">
      <c r="E53" s="72">
        <v>51</v>
      </c>
      <c r="F53" s="46">
        <f>F52+1</f>
        <v>90</v>
      </c>
      <c r="G53" s="75">
        <f t="shared" si="2"/>
        <v>193.79433809329953</v>
      </c>
      <c r="H53" s="42">
        <f>J52-G53</f>
        <v>850949.53509315732</v>
      </c>
      <c r="I53" s="42">
        <f t="shared" si="9"/>
        <v>102113.94421117888</v>
      </c>
      <c r="J53" s="42">
        <f t="shared" si="6"/>
        <v>953063.47930433624</v>
      </c>
      <c r="K53" s="75">
        <f>N52*$C$8</f>
        <v>2942.9365850656718</v>
      </c>
      <c r="L53" s="42">
        <f>N52-K53</f>
        <v>46106.0064993622</v>
      </c>
      <c r="M53" s="42">
        <f t="shared" si="10"/>
        <v>5532.7207799234639</v>
      </c>
      <c r="N53" s="42">
        <f t="shared" si="8"/>
        <v>51638.727279285667</v>
      </c>
    </row>
    <row r="54" spans="5:14" x14ac:dyDescent="0.4">
      <c r="E54" s="72">
        <v>52</v>
      </c>
      <c r="F54" s="46">
        <f t="shared" si="4"/>
        <v>91</v>
      </c>
      <c r="G54" s="75">
        <f t="shared" si="2"/>
        <v>197.67022485516551</v>
      </c>
      <c r="H54" s="42">
        <f t="shared" si="5"/>
        <v>952865.80907948106</v>
      </c>
      <c r="I54" s="42">
        <f t="shared" si="9"/>
        <v>114343.89708953773</v>
      </c>
      <c r="J54" s="42">
        <f t="shared" si="6"/>
        <v>1067209.7061690188</v>
      </c>
      <c r="K54" s="75">
        <f t="shared" si="11"/>
        <v>3098.3236367571399</v>
      </c>
      <c r="L54" s="42">
        <f t="shared" si="7"/>
        <v>48540.40364252853</v>
      </c>
      <c r="M54" s="42">
        <f t="shared" si="10"/>
        <v>5824.8484371034237</v>
      </c>
      <c r="N54" s="42">
        <f t="shared" si="8"/>
        <v>54365.252079631951</v>
      </c>
    </row>
    <row r="55" spans="5:14" x14ac:dyDescent="0.4">
      <c r="E55" s="72">
        <v>53</v>
      </c>
      <c r="F55" s="46">
        <f t="shared" si="4"/>
        <v>92</v>
      </c>
      <c r="G55" s="75">
        <f t="shared" si="2"/>
        <v>201.62362935226886</v>
      </c>
      <c r="H55" s="42">
        <f t="shared" si="5"/>
        <v>1067008.0825396664</v>
      </c>
      <c r="I55" s="42">
        <f t="shared" si="9"/>
        <v>128040.96990475997</v>
      </c>
      <c r="J55" s="42">
        <f t="shared" si="6"/>
        <v>1195049.0524444263</v>
      </c>
      <c r="K55" s="75">
        <f t="shared" si="11"/>
        <v>3261.9151247779168</v>
      </c>
      <c r="L55" s="42">
        <f t="shared" si="7"/>
        <v>51103.336954854036</v>
      </c>
      <c r="M55" s="42">
        <f t="shared" si="10"/>
        <v>6132.4004345824842</v>
      </c>
      <c r="N55" s="42">
        <f t="shared" si="8"/>
        <v>57235.737389436523</v>
      </c>
    </row>
    <row r="56" spans="5:14" x14ac:dyDescent="0.4">
      <c r="E56" s="72">
        <v>54</v>
      </c>
      <c r="F56" s="46">
        <f t="shared" si="4"/>
        <v>93</v>
      </c>
      <c r="G56" s="75">
        <f t="shared" si="2"/>
        <v>205.6561019393142</v>
      </c>
      <c r="H56" s="42">
        <f t="shared" si="5"/>
        <v>1194843.3963424871</v>
      </c>
      <c r="I56" s="42">
        <f t="shared" si="9"/>
        <v>143381.20756109845</v>
      </c>
      <c r="J56" s="42">
        <f t="shared" si="6"/>
        <v>1338224.6039035856</v>
      </c>
      <c r="K56" s="75">
        <f t="shared" si="11"/>
        <v>3434.1442433661914</v>
      </c>
      <c r="L56" s="42">
        <f t="shared" si="7"/>
        <v>53801.593146070329</v>
      </c>
      <c r="M56" s="42">
        <f t="shared" si="10"/>
        <v>6456.1911775284389</v>
      </c>
      <c r="N56" s="42">
        <f t="shared" si="8"/>
        <v>60257.784323598768</v>
      </c>
    </row>
    <row r="57" spans="5:14" x14ac:dyDescent="0.4">
      <c r="E57" s="72">
        <v>55</v>
      </c>
      <c r="F57" s="46">
        <f t="shared" si="4"/>
        <v>94</v>
      </c>
      <c r="G57" s="75">
        <f t="shared" si="2"/>
        <v>209.76922397810051</v>
      </c>
      <c r="H57" s="42">
        <f t="shared" si="5"/>
        <v>1338014.8346796075</v>
      </c>
      <c r="I57" s="42">
        <f t="shared" si="9"/>
        <v>160561.78016155289</v>
      </c>
      <c r="J57" s="42">
        <f t="shared" si="6"/>
        <v>1498576.6148411604</v>
      </c>
      <c r="K57" s="75">
        <f t="shared" si="11"/>
        <v>3615.4670594159261</v>
      </c>
      <c r="L57" s="42">
        <f t="shared" si="7"/>
        <v>56642.317264182842</v>
      </c>
      <c r="M57" s="42">
        <f t="shared" si="10"/>
        <v>6797.0780717019406</v>
      </c>
      <c r="N57" s="42">
        <f t="shared" si="8"/>
        <v>63439.395335884779</v>
      </c>
    </row>
    <row r="58" spans="5:14" x14ac:dyDescent="0.4">
      <c r="E58" s="72">
        <v>56</v>
      </c>
      <c r="F58" s="46">
        <f t="shared" si="4"/>
        <v>95</v>
      </c>
      <c r="G58" s="75">
        <f t="shared" si="2"/>
        <v>213.96460845766245</v>
      </c>
      <c r="H58" s="42">
        <f t="shared" si="5"/>
        <v>1498362.6502327027</v>
      </c>
      <c r="I58" s="42">
        <f t="shared" si="9"/>
        <v>179803.51802792432</v>
      </c>
      <c r="J58" s="42">
        <f t="shared" si="6"/>
        <v>1678166.168260627</v>
      </c>
      <c r="K58" s="75">
        <f t="shared" si="11"/>
        <v>3806.3637201530864</v>
      </c>
      <c r="L58" s="42">
        <f t="shared" si="7"/>
        <v>59633.031615731692</v>
      </c>
      <c r="M58" s="42">
        <f t="shared" si="10"/>
        <v>7155.9637938878031</v>
      </c>
      <c r="N58" s="42">
        <f t="shared" si="8"/>
        <v>66788.9954096195</v>
      </c>
    </row>
    <row r="59" spans="5:14" x14ac:dyDescent="0.4">
      <c r="E59" s="72">
        <v>57</v>
      </c>
      <c r="F59" s="46">
        <f t="shared" si="4"/>
        <v>96</v>
      </c>
      <c r="G59" s="75">
        <f t="shared" si="2"/>
        <v>218.24390062681573</v>
      </c>
      <c r="H59" s="42">
        <f t="shared" si="5"/>
        <v>1677947.9243600001</v>
      </c>
      <c r="I59" s="42">
        <f t="shared" si="9"/>
        <v>201353.75092319999</v>
      </c>
      <c r="J59" s="42">
        <f t="shared" si="6"/>
        <v>1879301.6752832001</v>
      </c>
      <c r="K59" s="75">
        <f t="shared" si="11"/>
        <v>4007.3397245771698</v>
      </c>
      <c r="L59" s="42">
        <f t="shared" si="7"/>
        <v>62781.655685042329</v>
      </c>
      <c r="M59" s="42">
        <f t="shared" si="10"/>
        <v>7533.7986822050789</v>
      </c>
      <c r="N59" s="42">
        <f t="shared" si="8"/>
        <v>70315.45436724741</v>
      </c>
    </row>
    <row r="60" spans="5:14" x14ac:dyDescent="0.4">
      <c r="E60" s="72">
        <v>58</v>
      </c>
      <c r="F60" s="46">
        <f t="shared" si="4"/>
        <v>97</v>
      </c>
      <c r="G60" s="75">
        <f t="shared" si="2"/>
        <v>222.60877863935204</v>
      </c>
      <c r="H60" s="42">
        <f t="shared" si="5"/>
        <v>1879079.0665045606</v>
      </c>
      <c r="I60" s="42">
        <f t="shared" si="9"/>
        <v>225489.48798054727</v>
      </c>
      <c r="J60" s="42">
        <f t="shared" si="6"/>
        <v>2104568.5544851078</v>
      </c>
      <c r="K60" s="75">
        <f t="shared" si="11"/>
        <v>4218.9272620348447</v>
      </c>
      <c r="L60" s="42">
        <f t="shared" si="7"/>
        <v>66096.527105212561</v>
      </c>
      <c r="M60" s="42">
        <f t="shared" si="10"/>
        <v>7931.5832526255072</v>
      </c>
      <c r="N60" s="42">
        <f t="shared" si="8"/>
        <v>74028.110357838072</v>
      </c>
    </row>
    <row r="61" spans="5:14" x14ac:dyDescent="0.4">
      <c r="E61" s="72">
        <v>59</v>
      </c>
      <c r="F61" s="46">
        <f t="shared" si="4"/>
        <v>98</v>
      </c>
      <c r="G61" s="75">
        <f t="shared" si="2"/>
        <v>227.06095421213911</v>
      </c>
      <c r="H61" s="42">
        <f t="shared" si="5"/>
        <v>2104341.4935308956</v>
      </c>
      <c r="I61" s="42">
        <f t="shared" si="9"/>
        <v>252520.97922370746</v>
      </c>
      <c r="J61" s="42">
        <f t="shared" si="6"/>
        <v>2356862.4727546033</v>
      </c>
      <c r="K61" s="75">
        <f t="shared" si="11"/>
        <v>4441.6866214702841</v>
      </c>
      <c r="L61" s="42">
        <f t="shared" si="7"/>
        <v>69586.423736367782</v>
      </c>
      <c r="M61" s="42">
        <f t="shared" si="10"/>
        <v>8350.3708483641331</v>
      </c>
      <c r="N61" s="42">
        <f t="shared" si="8"/>
        <v>77936.794584731921</v>
      </c>
    </row>
    <row r="62" spans="5:14" x14ac:dyDescent="0.4">
      <c r="E62" s="72">
        <v>60</v>
      </c>
      <c r="F62" s="46">
        <f t="shared" si="4"/>
        <v>99</v>
      </c>
      <c r="G62" s="75">
        <f t="shared" si="2"/>
        <v>231.60217329638184</v>
      </c>
      <c r="H62" s="42">
        <f t="shared" si="5"/>
        <v>2356630.870581307</v>
      </c>
      <c r="I62" s="42">
        <f t="shared" si="9"/>
        <v>282795.70446975681</v>
      </c>
      <c r="J62" s="42">
        <f t="shared" si="6"/>
        <v>2639426.5750510637</v>
      </c>
      <c r="K62" s="75">
        <f t="shared" si="11"/>
        <v>4676.2076750839151</v>
      </c>
      <c r="L62" s="42">
        <f t="shared" si="7"/>
        <v>73260.586909648002</v>
      </c>
      <c r="M62" s="42">
        <f t="shared" si="10"/>
        <v>8791.2704291577593</v>
      </c>
      <c r="N62" s="42">
        <f t="shared" si="8"/>
        <v>82051.857338805756</v>
      </c>
    </row>
    <row r="63" spans="5:14" x14ac:dyDescent="0.4">
      <c r="E63" s="72">
        <v>61</v>
      </c>
      <c r="F63" s="46">
        <f t="shared" si="4"/>
        <v>100</v>
      </c>
      <c r="G63" s="75">
        <f t="shared" si="2"/>
        <v>236.23421676230953</v>
      </c>
      <c r="H63" s="42">
        <f t="shared" si="5"/>
        <v>2639190.3408343014</v>
      </c>
      <c r="I63" s="42">
        <f t="shared" si="9"/>
        <v>316702.84090011613</v>
      </c>
      <c r="J63" s="42">
        <f t="shared" si="6"/>
        <v>2955893.1817344176</v>
      </c>
      <c r="K63" s="75">
        <f t="shared" si="11"/>
        <v>4923.1114403283455</v>
      </c>
      <c r="L63" s="42">
        <f t="shared" si="7"/>
        <v>77128.745898477413</v>
      </c>
      <c r="M63" s="42">
        <f t="shared" si="10"/>
        <v>9255.4495078172895</v>
      </c>
      <c r="N63" s="42">
        <f t="shared" si="8"/>
        <v>86384.195406294704</v>
      </c>
    </row>
  </sheetData>
  <sheetProtection algorithmName="SHA-512" hashValue="Bujy6dOfdbRucQAP9UX80CXt0cb0LZEBrPVFUDTvhf7mT9Ru+nx3BC1Vk0zqYjOdS1kmmnUvpF2/JEv0x4PklQ==" saltValue="hdQAxKFaVV1CbJOTYMUrpA==" spinCount="100000" sheet="1" formatColumns="0"/>
  <mergeCells count="11">
    <mergeCell ref="A3:A9"/>
    <mergeCell ref="A11:B11"/>
    <mergeCell ref="A10:B10"/>
    <mergeCell ref="A1:A2"/>
    <mergeCell ref="B1:B2"/>
    <mergeCell ref="K1:N1"/>
    <mergeCell ref="C1:C2"/>
    <mergeCell ref="D1:D2"/>
    <mergeCell ref="E1:E2"/>
    <mergeCell ref="F1:F2"/>
    <mergeCell ref="G1:J1"/>
  </mergeCells>
  <phoneticPr fontId="6" type="noConversion"/>
  <conditionalFormatting sqref="F3:N63">
    <cfRule type="cellIs" dxfId="1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7"/>
  <sheetViews>
    <sheetView showGridLines="0" zoomScale="85" zoomScaleNormal="85" workbookViewId="0">
      <pane xSplit="6" ySplit="2" topLeftCell="G3" activePane="bottomRight" state="frozen"/>
      <selection activeCell="J25" sqref="J25"/>
      <selection pane="topRight" activeCell="J25" sqref="J25"/>
      <selection pane="bottomLeft" activeCell="J25" sqref="J25"/>
      <selection pane="bottomRight" activeCell="K7" sqref="K7"/>
    </sheetView>
  </sheetViews>
  <sheetFormatPr defaultColWidth="9.6328125" defaultRowHeight="15.65" customHeight="1" x14ac:dyDescent="0.4"/>
  <cols>
    <col min="1" max="1" width="4.6328125" style="47" customWidth="1"/>
    <col min="2" max="2" width="12.36328125" style="48" bestFit="1" customWidth="1"/>
    <col min="3" max="3" width="10.08984375" style="49" bestFit="1" customWidth="1"/>
    <col min="4" max="4" width="0.81640625" style="17" customWidth="1"/>
    <col min="5" max="5" width="6" style="63" bestFit="1" customWidth="1"/>
    <col min="6" max="6" width="8.26953125" style="59" bestFit="1" customWidth="1"/>
    <col min="7" max="8" width="8.453125" style="64" bestFit="1" customWidth="1"/>
    <col min="9" max="9" width="7.90625" style="65" bestFit="1" customWidth="1"/>
    <col min="10" max="10" width="10.08984375" style="65" bestFit="1" customWidth="1"/>
    <col min="11" max="11" width="9.26953125" style="66" bestFit="1" customWidth="1"/>
    <col min="12" max="12" width="10.54296875" style="65" bestFit="1" customWidth="1"/>
    <col min="13" max="21" width="9.6328125" style="5" customWidth="1"/>
    <col min="22" max="16384" width="9.6328125" style="5"/>
  </cols>
  <sheetData>
    <row r="1" spans="1:20" ht="15.65" customHeight="1" x14ac:dyDescent="0.4">
      <c r="A1" s="211" t="s">
        <v>357</v>
      </c>
      <c r="B1" s="199" t="s">
        <v>424</v>
      </c>
      <c r="C1" s="199" t="s">
        <v>347</v>
      </c>
      <c r="E1" s="214" t="s">
        <v>344</v>
      </c>
      <c r="F1" s="215" t="s">
        <v>348</v>
      </c>
      <c r="G1" s="215" t="s">
        <v>345</v>
      </c>
      <c r="H1" s="215" t="s">
        <v>346</v>
      </c>
      <c r="I1" s="216">
        <f>C7</f>
        <v>72</v>
      </c>
      <c r="J1" s="217"/>
      <c r="K1" s="213">
        <f>C8</f>
        <v>0.06</v>
      </c>
      <c r="L1" s="213"/>
    </row>
    <row r="2" spans="1:20" ht="17" x14ac:dyDescent="0.4">
      <c r="A2" s="211"/>
      <c r="B2" s="199"/>
      <c r="C2" s="199"/>
      <c r="E2" s="214"/>
      <c r="F2" s="215"/>
      <c r="G2" s="215"/>
      <c r="H2" s="215"/>
      <c r="I2" s="52" t="s">
        <v>352</v>
      </c>
      <c r="J2" s="53" t="s">
        <v>351</v>
      </c>
      <c r="K2" s="52" t="s">
        <v>352</v>
      </c>
      <c r="L2" s="53" t="s">
        <v>351</v>
      </c>
    </row>
    <row r="3" spans="1:20" s="8" customFormat="1" ht="17" customHeight="1" x14ac:dyDescent="0.4">
      <c r="A3" s="206" t="s">
        <v>355</v>
      </c>
      <c r="B3" s="118" t="s">
        <v>350</v>
      </c>
      <c r="C3" s="12">
        <v>50</v>
      </c>
      <c r="D3" s="30"/>
      <c r="E3" s="55">
        <v>2000</v>
      </c>
      <c r="F3" s="56">
        <f>IFERROR((H3-G3)/G3,0)</f>
        <v>-0.39583333333333331</v>
      </c>
      <c r="G3" s="57">
        <v>96</v>
      </c>
      <c r="H3" s="57">
        <v>58</v>
      </c>
      <c r="I3" s="38">
        <f t="shared" ref="I3:I27" si="0">$C$7*(1+$C$4)^(E3-E$3)</f>
        <v>72</v>
      </c>
      <c r="J3" s="33">
        <f>($C$9-I3)*(1+$F3)</f>
        <v>2218.5000000000005</v>
      </c>
      <c r="K3" s="38">
        <f>C9*$K$1</f>
        <v>224.64</v>
      </c>
      <c r="L3" s="33">
        <f>$C$9*(1-K1)*(1+$F3)</f>
        <v>2126.2800000000002</v>
      </c>
      <c r="M3" s="6"/>
      <c r="N3" s="7"/>
      <c r="O3" s="7"/>
      <c r="P3" s="7"/>
      <c r="Q3" s="7"/>
      <c r="R3" s="7"/>
      <c r="S3" s="7"/>
      <c r="T3" s="7"/>
    </row>
    <row r="4" spans="1:20" ht="18" customHeight="1" x14ac:dyDescent="0.4">
      <c r="A4" s="207"/>
      <c r="B4" s="118" t="s">
        <v>373</v>
      </c>
      <c r="C4" s="15">
        <v>0.02</v>
      </c>
      <c r="D4" s="30"/>
      <c r="E4" s="58">
        <v>2001</v>
      </c>
      <c r="F4" s="59">
        <f t="shared" ref="F4:F26" si="1">IFERROR((H4-G4)/G4,0)</f>
        <v>-0.32758620689655171</v>
      </c>
      <c r="G4" s="60">
        <f>H3</f>
        <v>58</v>
      </c>
      <c r="H4" s="60">
        <v>39</v>
      </c>
      <c r="I4" s="38">
        <f t="shared" si="0"/>
        <v>73.44</v>
      </c>
      <c r="J4" s="39">
        <f>(J3-I4)*(1+$F4)</f>
        <v>1442.367931034483</v>
      </c>
      <c r="K4" s="39">
        <f t="shared" ref="K4:K27" si="2">L3*K$1*(1+$C$4)^(E4-$E$3)</f>
        <v>130.12833600000002</v>
      </c>
      <c r="L4" s="39">
        <f>(L3-K4)*(1+$F4)</f>
        <v>1342.2399120000002</v>
      </c>
      <c r="M4" s="9"/>
      <c r="N4" s="10"/>
      <c r="O4" s="10"/>
      <c r="P4" s="10"/>
      <c r="Q4" s="10"/>
      <c r="R4" s="10"/>
      <c r="S4" s="10"/>
      <c r="T4" s="10"/>
    </row>
    <row r="5" spans="1:20" ht="18" customHeight="1" x14ac:dyDescent="0.4">
      <c r="A5" s="207"/>
      <c r="B5" s="118" t="s">
        <v>349</v>
      </c>
      <c r="C5" s="13">
        <v>144</v>
      </c>
      <c r="E5" s="58">
        <v>2002</v>
      </c>
      <c r="F5" s="59">
        <f t="shared" si="1"/>
        <v>-0.38461538461538464</v>
      </c>
      <c r="G5" s="60">
        <f t="shared" ref="G5:G26" si="3">H4</f>
        <v>39</v>
      </c>
      <c r="H5" s="60">
        <v>24</v>
      </c>
      <c r="I5" s="38">
        <f t="shared" si="0"/>
        <v>74.908799999999999</v>
      </c>
      <c r="J5" s="39">
        <f t="shared" ref="J5:J27" si="4">(J4-I5)*(1+$F5)</f>
        <v>841.51331140583579</v>
      </c>
      <c r="K5" s="39">
        <f t="shared" si="2"/>
        <v>83.787984266688014</v>
      </c>
      <c r="L5" s="39">
        <f t="shared" ref="L5:L27" si="5">(L4-K5)*(1+$F5)</f>
        <v>774.43195552819213</v>
      </c>
      <c r="M5" s="9"/>
      <c r="N5" s="10"/>
      <c r="O5" s="10"/>
      <c r="P5" s="10"/>
      <c r="Q5" s="10"/>
      <c r="R5" s="10"/>
      <c r="S5" s="10"/>
      <c r="T5" s="10"/>
    </row>
    <row r="6" spans="1:20" ht="18" customHeight="1" x14ac:dyDescent="0.4">
      <c r="A6" s="207"/>
      <c r="B6" s="119" t="s">
        <v>361</v>
      </c>
      <c r="C6" s="14">
        <v>6</v>
      </c>
      <c r="E6" s="58">
        <v>2003</v>
      </c>
      <c r="F6" s="59">
        <f t="shared" si="1"/>
        <v>0.5</v>
      </c>
      <c r="G6" s="60">
        <f t="shared" si="3"/>
        <v>24</v>
      </c>
      <c r="H6" s="60">
        <v>36</v>
      </c>
      <c r="I6" s="38">
        <f t="shared" si="0"/>
        <v>76.406976</v>
      </c>
      <c r="J6" s="39">
        <f t="shared" si="4"/>
        <v>1147.6595031087536</v>
      </c>
      <c r="K6" s="39">
        <f t="shared" si="2"/>
        <v>49.310003199729699</v>
      </c>
      <c r="L6" s="39">
        <f t="shared" si="5"/>
        <v>1087.6829284926935</v>
      </c>
      <c r="M6" s="9"/>
      <c r="N6" s="10"/>
      <c r="O6" s="10"/>
      <c r="P6" s="10"/>
      <c r="Q6" s="10"/>
      <c r="R6" s="10"/>
      <c r="S6" s="10"/>
      <c r="T6" s="10"/>
    </row>
    <row r="7" spans="1:20" ht="18" customHeight="1" x14ac:dyDescent="0.4">
      <c r="A7" s="207"/>
      <c r="B7" s="119" t="s">
        <v>359</v>
      </c>
      <c r="C7" s="43">
        <f>C6*12</f>
        <v>72</v>
      </c>
      <c r="E7" s="58">
        <v>2004</v>
      </c>
      <c r="F7" s="59">
        <f t="shared" si="1"/>
        <v>0.1111111111111111</v>
      </c>
      <c r="G7" s="60">
        <f t="shared" si="3"/>
        <v>36</v>
      </c>
      <c r="H7" s="60">
        <v>40</v>
      </c>
      <c r="I7" s="38">
        <f t="shared" si="0"/>
        <v>77.935115519999997</v>
      </c>
      <c r="J7" s="39">
        <f t="shared" si="4"/>
        <v>1188.582652876393</v>
      </c>
      <c r="K7" s="39">
        <f t="shared" si="2"/>
        <v>70.640578901008297</v>
      </c>
      <c r="L7" s="39">
        <f t="shared" si="5"/>
        <v>1130.0470551018725</v>
      </c>
      <c r="M7" s="9"/>
      <c r="N7" s="10"/>
      <c r="O7" s="10"/>
      <c r="P7" s="10"/>
      <c r="Q7" s="10"/>
      <c r="R7" s="10"/>
      <c r="S7" s="10"/>
      <c r="T7" s="10"/>
    </row>
    <row r="8" spans="1:20" ht="18" customHeight="1" x14ac:dyDescent="0.4">
      <c r="A8" s="207"/>
      <c r="B8" s="118" t="s">
        <v>380</v>
      </c>
      <c r="C8" s="15">
        <v>0.06</v>
      </c>
      <c r="E8" s="58">
        <v>2005</v>
      </c>
      <c r="F8" s="59">
        <f t="shared" si="1"/>
        <v>0</v>
      </c>
      <c r="G8" s="60">
        <f t="shared" si="3"/>
        <v>40</v>
      </c>
      <c r="H8" s="60">
        <v>40</v>
      </c>
      <c r="I8" s="38">
        <f t="shared" si="0"/>
        <v>79.493817830400005</v>
      </c>
      <c r="J8" s="39">
        <f t="shared" si="4"/>
        <v>1109.0888350459929</v>
      </c>
      <c r="K8" s="39">
        <f t="shared" si="2"/>
        <v>74.859795615040198</v>
      </c>
      <c r="L8" s="39">
        <f t="shared" si="5"/>
        <v>1055.1872594868323</v>
      </c>
      <c r="M8" s="9"/>
      <c r="N8" s="10"/>
      <c r="O8" s="10"/>
      <c r="P8" s="10"/>
      <c r="Q8" s="10"/>
      <c r="R8" s="10"/>
      <c r="S8" s="10"/>
      <c r="T8" s="10"/>
    </row>
    <row r="9" spans="1:20" ht="18" customHeight="1" x14ac:dyDescent="0.4">
      <c r="A9" s="208"/>
      <c r="B9" s="118" t="s">
        <v>358</v>
      </c>
      <c r="C9" s="121">
        <f>C5+C3*C7</f>
        <v>3744</v>
      </c>
      <c r="E9" s="58">
        <v>2006</v>
      </c>
      <c r="F9" s="59">
        <f t="shared" si="1"/>
        <v>7.4999999999999997E-2</v>
      </c>
      <c r="G9" s="60">
        <f t="shared" si="3"/>
        <v>40</v>
      </c>
      <c r="H9" s="60">
        <v>43</v>
      </c>
      <c r="I9" s="38">
        <f t="shared" si="0"/>
        <v>81.083694187008007</v>
      </c>
      <c r="J9" s="39">
        <f t="shared" si="4"/>
        <v>1105.1055264234087</v>
      </c>
      <c r="K9" s="39">
        <f t="shared" si="2"/>
        <v>71.298734215214466</v>
      </c>
      <c r="L9" s="39">
        <f t="shared" si="5"/>
        <v>1057.6801646669892</v>
      </c>
      <c r="M9" s="9"/>
      <c r="N9" s="10"/>
      <c r="O9" s="10"/>
      <c r="P9" s="10"/>
      <c r="Q9" s="10"/>
      <c r="R9" s="10"/>
      <c r="S9" s="10"/>
      <c r="T9" s="10"/>
    </row>
    <row r="10" spans="1:20" ht="18" customHeight="1" x14ac:dyDescent="0.4">
      <c r="A10" s="212" t="s">
        <v>439</v>
      </c>
      <c r="B10" s="29" t="s">
        <v>440</v>
      </c>
      <c r="C10" s="145">
        <f>(H27-G12)/G12-1</f>
        <v>14.783999999999999</v>
      </c>
      <c r="E10" s="58">
        <v>2007</v>
      </c>
      <c r="F10" s="59">
        <f t="shared" si="1"/>
        <v>0.18604651162790697</v>
      </c>
      <c r="G10" s="60">
        <f t="shared" si="3"/>
        <v>43</v>
      </c>
      <c r="H10" s="60">
        <v>51</v>
      </c>
      <c r="I10" s="38">
        <f t="shared" si="0"/>
        <v>82.70536807074815</v>
      </c>
      <c r="J10" s="39">
        <f t="shared" si="4"/>
        <v>1212.6141413019927</v>
      </c>
      <c r="K10" s="39">
        <f t="shared" si="2"/>
        <v>72.896522766594032</v>
      </c>
      <c r="L10" s="39">
        <f t="shared" si="5"/>
        <v>1167.9992031841896</v>
      </c>
      <c r="M10" s="9"/>
      <c r="N10" s="10"/>
      <c r="O10" s="10"/>
      <c r="P10" s="10"/>
      <c r="Q10" s="10"/>
      <c r="R10" s="10"/>
      <c r="S10" s="10"/>
      <c r="T10" s="10"/>
    </row>
    <row r="11" spans="1:20" ht="18" customHeight="1" x14ac:dyDescent="0.4">
      <c r="A11" s="212"/>
      <c r="B11" s="29" t="s">
        <v>381</v>
      </c>
      <c r="C11" s="44">
        <f>(1+C10)^(1/(E27-E12))-1</f>
        <v>0.20193543245985102</v>
      </c>
      <c r="E11" s="58">
        <v>2008</v>
      </c>
      <c r="F11" s="59">
        <f t="shared" si="1"/>
        <v>-0.41176470588235292</v>
      </c>
      <c r="G11" s="60">
        <f t="shared" si="3"/>
        <v>51</v>
      </c>
      <c r="H11" s="60">
        <v>30</v>
      </c>
      <c r="I11" s="38">
        <f t="shared" si="0"/>
        <v>84.359475432163123</v>
      </c>
      <c r="J11" s="39">
        <f t="shared" si="4"/>
        <v>663.67921521754681</v>
      </c>
      <c r="K11" s="39">
        <f t="shared" si="2"/>
        <v>82.109833404835612</v>
      </c>
      <c r="L11" s="39">
        <f t="shared" si="5"/>
        <v>638.7584528113847</v>
      </c>
      <c r="M11" s="9"/>
      <c r="N11" s="10"/>
      <c r="O11" s="10"/>
      <c r="P11" s="10"/>
      <c r="Q11" s="10"/>
      <c r="R11" s="10"/>
      <c r="S11" s="10"/>
      <c r="T11" s="10"/>
    </row>
    <row r="12" spans="1:20" ht="18" customHeight="1" x14ac:dyDescent="0.4">
      <c r="A12" s="54"/>
      <c r="B12" s="61"/>
      <c r="C12" s="62"/>
      <c r="E12" s="58">
        <v>2009</v>
      </c>
      <c r="F12" s="59">
        <f t="shared" si="1"/>
        <v>0.53333333333333333</v>
      </c>
      <c r="G12" s="60">
        <f t="shared" si="3"/>
        <v>30</v>
      </c>
      <c r="H12" s="60">
        <v>46</v>
      </c>
      <c r="I12" s="38">
        <f t="shared" si="0"/>
        <v>86.04666494080638</v>
      </c>
      <c r="J12" s="39">
        <f t="shared" si="4"/>
        <v>885.70324375766859</v>
      </c>
      <c r="K12" s="39">
        <f t="shared" si="2"/>
        <v>45.802528805974255</v>
      </c>
      <c r="L12" s="39">
        <f t="shared" si="5"/>
        <v>909.19908347496266</v>
      </c>
      <c r="M12" s="9"/>
      <c r="N12" s="10"/>
      <c r="O12" s="10"/>
      <c r="P12" s="10"/>
      <c r="Q12" s="10"/>
      <c r="R12" s="10"/>
      <c r="S12" s="10"/>
      <c r="T12" s="10"/>
    </row>
    <row r="13" spans="1:20" ht="18" customHeight="1" x14ac:dyDescent="0.4">
      <c r="A13" s="54"/>
      <c r="B13" s="61"/>
      <c r="C13" s="62"/>
      <c r="E13" s="58">
        <v>2010</v>
      </c>
      <c r="F13" s="59">
        <f t="shared" si="1"/>
        <v>0.17826086956521744</v>
      </c>
      <c r="G13" s="60">
        <f t="shared" si="3"/>
        <v>46</v>
      </c>
      <c r="H13" s="60">
        <v>54.2</v>
      </c>
      <c r="I13" s="38">
        <f t="shared" si="0"/>
        <v>87.767598239622515</v>
      </c>
      <c r="J13" s="39">
        <f t="shared" si="4"/>
        <v>940.1763475451761</v>
      </c>
      <c r="K13" s="39">
        <f t="shared" si="2"/>
        <v>66.498516565219617</v>
      </c>
      <c r="L13" s="39">
        <f t="shared" si="5"/>
        <v>992.92110275017558</v>
      </c>
      <c r="M13" s="9"/>
      <c r="N13" s="10"/>
      <c r="O13" s="10"/>
      <c r="P13" s="10"/>
      <c r="Q13" s="10"/>
      <c r="R13" s="10"/>
      <c r="S13" s="10"/>
      <c r="T13" s="10"/>
    </row>
    <row r="14" spans="1:20" ht="18" customHeight="1" x14ac:dyDescent="0.4">
      <c r="A14" s="54"/>
      <c r="B14" s="61"/>
      <c r="C14" s="62"/>
      <c r="E14" s="58">
        <v>2011</v>
      </c>
      <c r="F14" s="59">
        <f t="shared" si="1"/>
        <v>2.5830258302582999E-2</v>
      </c>
      <c r="G14" s="60">
        <f t="shared" si="3"/>
        <v>54.2</v>
      </c>
      <c r="H14" s="60">
        <v>55.6</v>
      </c>
      <c r="I14" s="38">
        <f t="shared" si="0"/>
        <v>89.52295020441494</v>
      </c>
      <c r="J14" s="39">
        <f t="shared" si="4"/>
        <v>872.62599432004265</v>
      </c>
      <c r="K14" s="39">
        <f t="shared" si="2"/>
        <v>74.074355365347287</v>
      </c>
      <c r="L14" s="39">
        <f t="shared" si="5"/>
        <v>942.5807962102665</v>
      </c>
      <c r="M14" s="9"/>
      <c r="N14" s="10"/>
      <c r="O14" s="10"/>
      <c r="P14" s="10"/>
      <c r="Q14" s="10"/>
      <c r="R14" s="10"/>
      <c r="S14" s="10"/>
      <c r="T14" s="10"/>
    </row>
    <row r="15" spans="1:20" ht="18" customHeight="1" x14ac:dyDescent="0.4">
      <c r="B15" s="61"/>
      <c r="C15" s="62"/>
      <c r="E15" s="58">
        <v>2012</v>
      </c>
      <c r="F15" s="59">
        <f t="shared" si="1"/>
        <v>0.16726618705035978</v>
      </c>
      <c r="G15" s="60">
        <f t="shared" si="3"/>
        <v>55.6</v>
      </c>
      <c r="H15" s="60">
        <v>64.900000000000006</v>
      </c>
      <c r="I15" s="38">
        <f t="shared" si="0"/>
        <v>91.313409208503259</v>
      </c>
      <c r="J15" s="39">
        <f t="shared" si="4"/>
        <v>911.99976211760634</v>
      </c>
      <c r="K15" s="39">
        <f t="shared" si="2"/>
        <v>71.725221630354071</v>
      </c>
      <c r="L15" s="39">
        <f t="shared" si="5"/>
        <v>1016.5202660114446</v>
      </c>
      <c r="M15" s="9"/>
      <c r="N15" s="10"/>
      <c r="O15" s="10"/>
      <c r="P15" s="10"/>
      <c r="Q15" s="10"/>
      <c r="R15" s="10"/>
      <c r="S15" s="10"/>
      <c r="T15" s="10"/>
    </row>
    <row r="16" spans="1:20" ht="18" customHeight="1" x14ac:dyDescent="0.4">
      <c r="B16" s="61"/>
      <c r="C16" s="62"/>
      <c r="E16" s="58">
        <v>2013</v>
      </c>
      <c r="F16" s="59">
        <f t="shared" si="1"/>
        <v>0.3497688751926038</v>
      </c>
      <c r="G16" s="60">
        <f t="shared" si="3"/>
        <v>64.900000000000006</v>
      </c>
      <c r="H16" s="60">
        <v>87.6</v>
      </c>
      <c r="I16" s="38">
        <f t="shared" si="0"/>
        <v>93.13967739267332</v>
      </c>
      <c r="J16" s="39">
        <f t="shared" si="4"/>
        <v>1105.271855499293</v>
      </c>
      <c r="K16" s="39">
        <f t="shared" si="2"/>
        <v>78.898641366183682</v>
      </c>
      <c r="L16" s="39">
        <f t="shared" si="5"/>
        <v>1265.5724856536956</v>
      </c>
      <c r="M16" s="9"/>
      <c r="N16" s="10"/>
      <c r="O16" s="10"/>
      <c r="P16" s="10"/>
      <c r="Q16" s="10"/>
      <c r="R16" s="10"/>
      <c r="S16" s="10"/>
      <c r="T16" s="10"/>
    </row>
    <row r="17" spans="2:20" ht="18" customHeight="1" x14ac:dyDescent="0.4">
      <c r="B17" s="61"/>
      <c r="C17" s="62"/>
      <c r="E17" s="58">
        <v>2014</v>
      </c>
      <c r="F17" s="59">
        <f t="shared" si="1"/>
        <v>0.17922374429223747</v>
      </c>
      <c r="G17" s="60">
        <f t="shared" si="3"/>
        <v>87.6</v>
      </c>
      <c r="H17" s="60">
        <v>103.3</v>
      </c>
      <c r="I17" s="38">
        <f t="shared" si="0"/>
        <v>95.002470940526791</v>
      </c>
      <c r="J17" s="39">
        <f t="shared" si="4"/>
        <v>1191.3336464032027</v>
      </c>
      <c r="K17" s="39">
        <f t="shared" si="2"/>
        <v>100.19376107620457</v>
      </c>
      <c r="L17" s="39">
        <f t="shared" si="5"/>
        <v>1374.2422631147813</v>
      </c>
      <c r="M17" s="9"/>
      <c r="N17" s="10"/>
      <c r="O17" s="10"/>
      <c r="P17" s="10"/>
      <c r="Q17" s="10"/>
      <c r="R17" s="10"/>
      <c r="S17" s="10"/>
      <c r="T17" s="10"/>
    </row>
    <row r="18" spans="2:20" ht="18" customHeight="1" x14ac:dyDescent="0.4">
      <c r="B18" s="61"/>
      <c r="C18" s="62"/>
      <c r="E18" s="58">
        <v>2015</v>
      </c>
      <c r="F18" s="59">
        <f t="shared" si="1"/>
        <v>8.3252662149080434E-2</v>
      </c>
      <c r="G18" s="60">
        <f t="shared" si="3"/>
        <v>103.3</v>
      </c>
      <c r="H18" s="60">
        <v>111.9</v>
      </c>
      <c r="I18" s="38">
        <f t="shared" si="0"/>
        <v>96.902520359337302</v>
      </c>
      <c r="J18" s="39">
        <f t="shared" si="4"/>
        <v>1185.5454308258329</v>
      </c>
      <c r="K18" s="39">
        <f t="shared" si="2"/>
        <v>110.97294906678489</v>
      </c>
      <c r="L18" s="39">
        <f t="shared" si="5"/>
        <v>1368.4398474537347</v>
      </c>
      <c r="M18" s="9"/>
      <c r="N18" s="10"/>
      <c r="O18" s="10"/>
      <c r="P18" s="10"/>
      <c r="Q18" s="10"/>
      <c r="R18" s="10"/>
      <c r="S18" s="10"/>
      <c r="T18" s="10"/>
    </row>
    <row r="19" spans="2:20" ht="18" customHeight="1" x14ac:dyDescent="0.4">
      <c r="B19" s="61"/>
      <c r="C19" s="62"/>
      <c r="E19" s="58">
        <v>2016</v>
      </c>
      <c r="F19" s="59">
        <f t="shared" si="1"/>
        <v>5.8981233243967778E-2</v>
      </c>
      <c r="G19" s="60">
        <f t="shared" si="3"/>
        <v>111.9</v>
      </c>
      <c r="H19" s="60">
        <v>118.5</v>
      </c>
      <c r="I19" s="38">
        <f t="shared" si="0"/>
        <v>98.840570766524067</v>
      </c>
      <c r="J19" s="39">
        <f t="shared" si="4"/>
        <v>1150.8000528778205</v>
      </c>
      <c r="K19" s="39">
        <f t="shared" si="2"/>
        <v>112.71447965165189</v>
      </c>
      <c r="L19" s="39">
        <f t="shared" si="5"/>
        <v>1329.7895986107849</v>
      </c>
      <c r="M19" s="9"/>
      <c r="N19" s="10"/>
      <c r="O19" s="10"/>
      <c r="P19" s="10"/>
      <c r="Q19" s="10"/>
      <c r="R19" s="10"/>
      <c r="S19" s="10"/>
      <c r="T19" s="10"/>
    </row>
    <row r="20" spans="2:20" ht="18" customHeight="1" x14ac:dyDescent="0.4">
      <c r="B20" s="61"/>
      <c r="C20" s="62"/>
      <c r="E20" s="58">
        <v>2017</v>
      </c>
      <c r="F20" s="59">
        <f t="shared" si="1"/>
        <v>0.31476793248945156</v>
      </c>
      <c r="G20" s="60">
        <f t="shared" si="3"/>
        <v>118.5</v>
      </c>
      <c r="H20" s="60">
        <v>155.80000000000001</v>
      </c>
      <c r="I20" s="38">
        <f t="shared" si="0"/>
        <v>100.81738218185455</v>
      </c>
      <c r="J20" s="39">
        <f t="shared" si="4"/>
        <v>1380.4835451006879</v>
      </c>
      <c r="K20" s="39">
        <f t="shared" si="2"/>
        <v>111.72158848716539</v>
      </c>
      <c r="L20" s="39">
        <f t="shared" si="5"/>
        <v>1601.4767593017716</v>
      </c>
      <c r="M20" s="9"/>
      <c r="N20" s="10"/>
      <c r="O20" s="10"/>
      <c r="P20" s="10"/>
      <c r="Q20" s="10"/>
      <c r="R20" s="10"/>
      <c r="S20" s="10"/>
      <c r="T20" s="10"/>
    </row>
    <row r="21" spans="2:20" ht="18" customHeight="1" x14ac:dyDescent="0.4">
      <c r="B21" s="61"/>
      <c r="C21" s="62"/>
      <c r="E21" s="58">
        <v>2018</v>
      </c>
      <c r="F21" s="59">
        <f t="shared" si="1"/>
        <v>-9.6277278562259296E-3</v>
      </c>
      <c r="G21" s="60">
        <f t="shared" si="3"/>
        <v>155.80000000000001</v>
      </c>
      <c r="H21" s="60">
        <v>154.30000000000001</v>
      </c>
      <c r="I21" s="38">
        <f t="shared" si="0"/>
        <v>102.83372982549163</v>
      </c>
      <c r="J21" s="39">
        <f t="shared" si="4"/>
        <v>1265.3489505581695</v>
      </c>
      <c r="K21" s="39">
        <f t="shared" si="2"/>
        <v>137.23819032320191</v>
      </c>
      <c r="L21" s="39">
        <f t="shared" si="5"/>
        <v>1450.1412785198543</v>
      </c>
      <c r="M21" s="9"/>
      <c r="N21" s="10"/>
      <c r="O21" s="10"/>
      <c r="P21" s="10"/>
      <c r="Q21" s="10"/>
      <c r="R21" s="10"/>
      <c r="S21" s="10"/>
      <c r="T21" s="10"/>
    </row>
    <row r="22" spans="2:20" ht="18" customHeight="1" x14ac:dyDescent="0.4">
      <c r="B22" s="61"/>
      <c r="C22" s="62"/>
      <c r="E22" s="58">
        <v>2019</v>
      </c>
      <c r="F22" s="59">
        <f t="shared" si="1"/>
        <v>0.37783538561244318</v>
      </c>
      <c r="G22" s="60">
        <f t="shared" si="3"/>
        <v>154.30000000000001</v>
      </c>
      <c r="H22" s="60">
        <v>212.6</v>
      </c>
      <c r="I22" s="38">
        <f t="shared" si="0"/>
        <v>104.89040442200147</v>
      </c>
      <c r="J22" s="39">
        <f t="shared" si="4"/>
        <v>1598.9208484027822</v>
      </c>
      <c r="K22" s="39">
        <f t="shared" si="2"/>
        <v>126.75492097748814</v>
      </c>
      <c r="L22" s="39">
        <f t="shared" si="5"/>
        <v>1823.4085522586327</v>
      </c>
      <c r="M22" s="9"/>
      <c r="N22" s="10"/>
      <c r="O22" s="10"/>
      <c r="P22" s="10"/>
      <c r="Q22" s="10"/>
      <c r="R22" s="10"/>
      <c r="S22" s="10"/>
      <c r="T22" s="10"/>
    </row>
    <row r="23" spans="2:20" ht="18" customHeight="1" x14ac:dyDescent="0.4">
      <c r="B23" s="61"/>
      <c r="C23" s="62"/>
      <c r="E23" s="58">
        <v>2020</v>
      </c>
      <c r="F23" s="59">
        <f t="shared" si="1"/>
        <v>0.47554092191909686</v>
      </c>
      <c r="G23" s="60">
        <f t="shared" si="3"/>
        <v>212.6</v>
      </c>
      <c r="H23" s="60">
        <v>313.7</v>
      </c>
      <c r="I23" s="38">
        <f t="shared" si="0"/>
        <v>106.9882125104415</v>
      </c>
      <c r="J23" s="39">
        <f t="shared" si="4"/>
        <v>2201.4076570057728</v>
      </c>
      <c r="K23" s="39">
        <f t="shared" si="2"/>
        <v>162.56935140200255</v>
      </c>
      <c r="L23" s="39">
        <f t="shared" si="5"/>
        <v>2450.6362055913683</v>
      </c>
      <c r="M23" s="9"/>
      <c r="N23" s="10"/>
      <c r="O23" s="10"/>
      <c r="P23" s="10"/>
      <c r="Q23" s="10"/>
      <c r="R23" s="10"/>
      <c r="S23" s="10"/>
      <c r="T23" s="10"/>
    </row>
    <row r="24" spans="2:20" ht="18" customHeight="1" x14ac:dyDescent="0.4">
      <c r="B24" s="61"/>
      <c r="C24" s="62"/>
      <c r="E24" s="58">
        <v>2021</v>
      </c>
      <c r="F24" s="59">
        <f t="shared" si="1"/>
        <v>0.26840930825629578</v>
      </c>
      <c r="G24" s="60">
        <f t="shared" si="3"/>
        <v>313.7</v>
      </c>
      <c r="H24" s="60">
        <v>397.9</v>
      </c>
      <c r="I24" s="38">
        <f t="shared" si="0"/>
        <v>109.12797676065033</v>
      </c>
      <c r="J24" s="39">
        <f t="shared" si="4"/>
        <v>2653.8670218984194</v>
      </c>
      <c r="K24" s="39">
        <f t="shared" si="2"/>
        <v>222.86080907715262</v>
      </c>
      <c r="L24" s="39">
        <f t="shared" si="5"/>
        <v>2825.7310496429909</v>
      </c>
      <c r="M24" s="9"/>
      <c r="N24" s="10"/>
      <c r="O24" s="10"/>
      <c r="P24" s="10"/>
      <c r="Q24" s="10"/>
      <c r="R24" s="10"/>
      <c r="S24" s="10"/>
      <c r="T24" s="10"/>
    </row>
    <row r="25" spans="2:20" ht="18" customHeight="1" x14ac:dyDescent="0.4">
      <c r="B25" s="61"/>
      <c r="C25" s="62"/>
      <c r="E25" s="58">
        <v>2022</v>
      </c>
      <c r="F25" s="59">
        <f t="shared" si="1"/>
        <v>-0.33073636592108563</v>
      </c>
      <c r="G25" s="60">
        <f t="shared" si="3"/>
        <v>397.9</v>
      </c>
      <c r="H25" s="60">
        <v>266.3</v>
      </c>
      <c r="I25" s="38">
        <f t="shared" si="0"/>
        <v>111.31053629586334</v>
      </c>
      <c r="J25" s="39">
        <f t="shared" si="4"/>
        <v>1701.6405934052798</v>
      </c>
      <c r="K25" s="39">
        <f t="shared" si="2"/>
        <v>262.1113654696951</v>
      </c>
      <c r="L25" s="39">
        <f t="shared" si="5"/>
        <v>1715.7374262260589</v>
      </c>
      <c r="M25" s="9"/>
      <c r="N25" s="10"/>
      <c r="O25" s="10"/>
      <c r="P25" s="10"/>
      <c r="Q25" s="10"/>
      <c r="R25" s="10"/>
      <c r="S25" s="10"/>
      <c r="T25" s="10"/>
    </row>
    <row r="26" spans="2:20" ht="18" customHeight="1" x14ac:dyDescent="0.4">
      <c r="B26" s="61"/>
      <c r="C26" s="62"/>
      <c r="E26" s="58">
        <v>2023</v>
      </c>
      <c r="F26" s="59">
        <f t="shared" si="1"/>
        <v>0.29665790461885089</v>
      </c>
      <c r="G26" s="60">
        <f t="shared" si="3"/>
        <v>266.3</v>
      </c>
      <c r="H26" s="60">
        <v>345.3</v>
      </c>
      <c r="I26" s="38">
        <f t="shared" si="0"/>
        <v>113.53674702178058</v>
      </c>
      <c r="J26" s="39">
        <f t="shared" si="4"/>
        <v>2059.2274057687655</v>
      </c>
      <c r="K26" s="39">
        <f t="shared" si="2"/>
        <v>162.33270509769082</v>
      </c>
      <c r="L26" s="39">
        <f t="shared" si="5"/>
        <v>2014.23451072334</v>
      </c>
      <c r="M26" s="9"/>
      <c r="N26" s="10"/>
      <c r="O26" s="10"/>
      <c r="P26" s="10"/>
      <c r="Q26" s="10"/>
      <c r="R26" s="10"/>
      <c r="S26" s="10"/>
      <c r="T26" s="10"/>
    </row>
    <row r="27" spans="2:20" ht="15.65" customHeight="1" x14ac:dyDescent="0.4">
      <c r="B27" s="61"/>
      <c r="C27" s="62"/>
      <c r="E27" s="58">
        <v>2024</v>
      </c>
      <c r="F27" s="59">
        <f t="shared" ref="F27" si="6">IFERROR((H27-G27)/G27,0)</f>
        <v>0.2406859846244826</v>
      </c>
      <c r="G27" s="60">
        <v>405.84</v>
      </c>
      <c r="H27" s="60">
        <v>503.52</v>
      </c>
      <c r="I27" s="38">
        <f t="shared" si="0"/>
        <v>115.8074819622162</v>
      </c>
      <c r="J27" s="39">
        <f t="shared" si="4"/>
        <v>2411.1738617067658</v>
      </c>
      <c r="K27" s="39">
        <f t="shared" si="2"/>
        <v>194.38618897355548</v>
      </c>
      <c r="L27" s="39">
        <f t="shared" si="5"/>
        <v>2257.8603069373439</v>
      </c>
    </row>
  </sheetData>
  <sheetProtection algorithmName="SHA-512" hashValue="VBWT2dvFI1FlBYW7C3mu22Kx2IKZzfp1vsjo+zEqTVqtPrpnRYY0V0A8e+ZX7xOq7M4D/5UeEde3335PNNNmMQ==" saltValue="G25P4qRD1rxcxxCR7Gk3nw==" spinCount="100000" sheet="1" formatColumns="0"/>
  <mergeCells count="11">
    <mergeCell ref="A1:A2"/>
    <mergeCell ref="B1:B2"/>
    <mergeCell ref="A3:A9"/>
    <mergeCell ref="A10:A11"/>
    <mergeCell ref="K1:L1"/>
    <mergeCell ref="C1:C2"/>
    <mergeCell ref="E1:E2"/>
    <mergeCell ref="F1:F2"/>
    <mergeCell ref="G1:G2"/>
    <mergeCell ref="H1:H2"/>
    <mergeCell ref="I1:J1"/>
  </mergeCells>
  <phoneticPr fontId="6" type="noConversion"/>
  <conditionalFormatting sqref="I3:L27">
    <cfRule type="cellIs" dxfId="9" priority="1" operator="lessThan">
      <formula>0</formula>
    </cfRule>
  </conditionalFormatting>
  <conditionalFormatting sqref="K3:K27">
    <cfRule type="cellIs" dxfId="8" priority="16" operator="lessThan">
      <formula>$C$7*(1+$C$4)^(E3-$E$3)</formula>
    </cfRule>
  </conditionalFormatting>
  <pageMargins left="0.7" right="0.7" top="0.75" bottom="0.75" header="0.3" footer="0.3"/>
  <pageSetup orientation="portrait" r:id="rId1"/>
  <headerFooter>
    <oddFooter>&amp;C&amp;"Helvetica Neue,Regular"&amp;12&amp;K000000&amp;P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41"/>
  <sheetViews>
    <sheetView showGridLines="0" tabSelected="1" zoomScale="85" zoomScaleNormal="8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defaultColWidth="9.6328125" defaultRowHeight="15.65" customHeight="1" x14ac:dyDescent="0.4"/>
  <cols>
    <col min="1" max="1" width="4.6328125" style="47" customWidth="1"/>
    <col min="2" max="2" width="13.453125" style="48" bestFit="1" customWidth="1"/>
    <col min="3" max="3" width="8.54296875" style="49" bestFit="1" customWidth="1"/>
    <col min="4" max="4" width="0.81640625" style="17" customWidth="1"/>
    <col min="5" max="5" width="5.36328125" style="31" bestFit="1" customWidth="1"/>
    <col min="6" max="6" width="9.81640625" style="50" bestFit="1" customWidth="1"/>
    <col min="7" max="9" width="10.90625" style="50" bestFit="1" customWidth="1"/>
    <col min="10" max="10" width="8.26953125" style="50" bestFit="1" customWidth="1"/>
    <col min="11" max="11" width="9.81640625" style="50" bestFit="1" customWidth="1"/>
    <col min="12" max="12" width="7.90625" style="51" bestFit="1" customWidth="1"/>
    <col min="13" max="13" width="8.81640625" style="46" bestFit="1" customWidth="1"/>
    <col min="14" max="14" width="9.26953125" style="36" bestFit="1" customWidth="1"/>
    <col min="15" max="16" width="9.81640625" style="42" bestFit="1" customWidth="1"/>
    <col min="17" max="17" width="8.81640625" style="46" bestFit="1" customWidth="1"/>
    <col min="18" max="18" width="9.26953125" style="36" bestFit="1" customWidth="1"/>
    <col min="19" max="19" width="10.90625" style="42" bestFit="1" customWidth="1"/>
    <col min="20" max="22" width="9.81640625" style="42" bestFit="1" customWidth="1"/>
    <col min="23" max="28" width="9.6328125" style="5" customWidth="1"/>
    <col min="29" max="16384" width="9.6328125" style="5"/>
  </cols>
  <sheetData>
    <row r="1" spans="1:27" ht="20" customHeight="1" x14ac:dyDescent="0.4">
      <c r="A1" s="223" t="s">
        <v>357</v>
      </c>
      <c r="B1" s="199" t="s">
        <v>424</v>
      </c>
      <c r="C1" s="224" t="s">
        <v>347</v>
      </c>
      <c r="E1" s="214" t="s">
        <v>344</v>
      </c>
      <c r="F1" s="18" t="s">
        <v>379</v>
      </c>
      <c r="G1" s="18"/>
      <c r="H1" s="19"/>
      <c r="I1" s="18"/>
      <c r="J1" s="20" t="s">
        <v>372</v>
      </c>
      <c r="K1" s="21"/>
      <c r="L1" s="22"/>
      <c r="M1" s="171" t="s">
        <v>300</v>
      </c>
      <c r="N1" s="172"/>
      <c r="O1" s="172"/>
      <c r="P1" s="173"/>
      <c r="Q1" s="220" t="s">
        <v>301</v>
      </c>
      <c r="R1" s="221"/>
      <c r="S1" s="221"/>
      <c r="T1" s="222"/>
      <c r="U1" s="218" t="s">
        <v>362</v>
      </c>
      <c r="V1" s="219"/>
    </row>
    <row r="2" spans="1:27" ht="20" customHeight="1" x14ac:dyDescent="0.4">
      <c r="A2" s="223"/>
      <c r="B2" s="199"/>
      <c r="C2" s="224"/>
      <c r="E2" s="214"/>
      <c r="F2" s="23" t="s">
        <v>371</v>
      </c>
      <c r="G2" s="23" t="s">
        <v>374</v>
      </c>
      <c r="H2" s="23" t="s">
        <v>351</v>
      </c>
      <c r="I2" s="23" t="s">
        <v>431</v>
      </c>
      <c r="J2" s="24" t="s">
        <v>375</v>
      </c>
      <c r="K2" s="24" t="s">
        <v>378</v>
      </c>
      <c r="L2" s="25" t="s">
        <v>370</v>
      </c>
      <c r="M2" s="26" t="s">
        <v>432</v>
      </c>
      <c r="N2" s="27" t="s">
        <v>433</v>
      </c>
      <c r="O2" s="26" t="s">
        <v>377</v>
      </c>
      <c r="P2" s="26" t="s">
        <v>434</v>
      </c>
      <c r="Q2" s="28" t="s">
        <v>432</v>
      </c>
      <c r="R2" s="28" t="s">
        <v>433</v>
      </c>
      <c r="S2" s="28" t="s">
        <v>377</v>
      </c>
      <c r="T2" s="28" t="s">
        <v>376</v>
      </c>
      <c r="U2" s="26" t="s">
        <v>377</v>
      </c>
      <c r="V2" s="26" t="s">
        <v>376</v>
      </c>
    </row>
    <row r="3" spans="1:27" s="8" customFormat="1" ht="17" customHeight="1" x14ac:dyDescent="0.4">
      <c r="A3" s="206" t="s">
        <v>355</v>
      </c>
      <c r="B3" s="118" t="s">
        <v>373</v>
      </c>
      <c r="C3" s="152">
        <v>0.02</v>
      </c>
      <c r="D3" s="30"/>
      <c r="E3" s="31">
        <v>1999</v>
      </c>
      <c r="F3" s="33">
        <f>SUM(F4:F28)</f>
        <v>1153.0907900365139</v>
      </c>
      <c r="G3" s="138">
        <f>O3+T3+V3</f>
        <v>1800</v>
      </c>
      <c r="H3" s="33">
        <f>F3+H28</f>
        <v>11494.749598449944</v>
      </c>
      <c r="I3" s="33"/>
      <c r="J3" s="32"/>
      <c r="K3" s="34"/>
      <c r="L3" s="34"/>
      <c r="M3" s="35"/>
      <c r="N3" s="36">
        <v>91.375</v>
      </c>
      <c r="O3" s="139">
        <f>$C$13*$C$18</f>
        <v>720</v>
      </c>
      <c r="P3" s="139"/>
      <c r="Q3" s="35"/>
      <c r="R3" s="36">
        <v>12.463869467773534</v>
      </c>
      <c r="S3" s="139">
        <f>$C$13*$C$19</f>
        <v>540</v>
      </c>
      <c r="T3" s="37">
        <f>$C$13*$C$19</f>
        <v>540</v>
      </c>
      <c r="U3" s="139">
        <f>$C$13*$C$20</f>
        <v>540</v>
      </c>
      <c r="V3" s="37">
        <f>$C$13*$C$20</f>
        <v>540</v>
      </c>
      <c r="W3" s="7"/>
      <c r="X3" s="7"/>
      <c r="Y3" s="7"/>
      <c r="Z3" s="7"/>
      <c r="AA3" s="7"/>
    </row>
    <row r="4" spans="1:27" ht="18" customHeight="1" x14ac:dyDescent="0.4">
      <c r="A4" s="207"/>
      <c r="B4" s="118" t="s">
        <v>349</v>
      </c>
      <c r="C4" s="153">
        <v>144</v>
      </c>
      <c r="D4" s="30"/>
      <c r="E4" s="31">
        <v>2000</v>
      </c>
      <c r="F4" s="38">
        <f t="shared" ref="F4:F28" si="0">$C$10*(1+$C$3)^($E4-$E$4)</f>
        <v>36</v>
      </c>
      <c r="G4" s="38">
        <f>P4+T4+V4</f>
        <v>1220.3630878750507</v>
      </c>
      <c r="H4" s="39">
        <f>G4-K4</f>
        <v>1183.4270878750508</v>
      </c>
      <c r="I4" s="39">
        <f>H4+SUM(F$4:F4)</f>
        <v>1219.4270878750508</v>
      </c>
      <c r="J4" s="39">
        <f t="shared" ref="J4:J28" si="1">IF($C$15="是",(F4+K3)*$C$16,0)</f>
        <v>0.93599999999999994</v>
      </c>
      <c r="K4" s="39">
        <f t="shared" ref="K4:K28" si="2">IF($C$15="是",K3+F4+J4,0)</f>
        <v>36.936</v>
      </c>
      <c r="L4" s="40">
        <f t="shared" ref="L4:L28" si="3">IF(K4=0,"",G4/K4)</f>
        <v>33.039936318904338</v>
      </c>
      <c r="M4" s="41">
        <f t="shared" ref="M4:M28" si="4">(N4-N3)/N3</f>
        <v>-0.36114911080711354</v>
      </c>
      <c r="N4" s="36">
        <v>58.375</v>
      </c>
      <c r="O4" s="42">
        <f>O3*(1+M4)-IF(AND($C$15="否",$C$20=0),F4)</f>
        <v>459.97264021887827</v>
      </c>
      <c r="P4" s="42">
        <f>IF($C$21=3,(O4+U4)*$C$18,O4)</f>
        <v>459.97264021887827</v>
      </c>
      <c r="Q4" s="41">
        <f t="shared" ref="Q4:Q28" si="5">(R4-R3)/R3</f>
        <v>-0.59186954137745829</v>
      </c>
      <c r="R4" s="36">
        <v>5.0868847620939075</v>
      </c>
      <c r="S4" s="37">
        <f>T3*(1+Q4)</f>
        <v>220.39044765617251</v>
      </c>
      <c r="T4" s="38">
        <f>IF($C$21=1,IF(Q4&lt;0,S4+$C$23,S4-(S4-T3)*$C$22),IF($C$21=2,(S4+U4)/2,S4))</f>
        <v>380.19522382808623</v>
      </c>
      <c r="U4" s="33">
        <f t="shared" ref="U4:U28" si="6">IF($C$21=3,V3-F4,IF($C$21=0,V3,V3-IF($C$15="否",F4,0)))</f>
        <v>540</v>
      </c>
      <c r="V4" s="38">
        <f t="shared" ref="V4:V28" si="7">IF($C$21=3,(O4+U4)*$C$20,IF($C$21=2,(S4+U4)/2,IF($C$21=1,IF(Q4&lt;0,U4-$C$23,U4+(S4-S3)*$C$22),U4)))</f>
        <v>380.19522382808623</v>
      </c>
      <c r="W4" s="11"/>
      <c r="X4" s="11"/>
      <c r="Y4" s="10"/>
      <c r="Z4" s="10"/>
      <c r="AA4" s="10"/>
    </row>
    <row r="5" spans="1:27" ht="18" customHeight="1" x14ac:dyDescent="0.4">
      <c r="A5" s="207"/>
      <c r="B5" s="119" t="s">
        <v>361</v>
      </c>
      <c r="C5" s="154">
        <v>3</v>
      </c>
      <c r="E5" s="31">
        <v>2001</v>
      </c>
      <c r="F5" s="38">
        <f t="shared" si="0"/>
        <v>36.72</v>
      </c>
      <c r="G5" s="38">
        <f t="shared" ref="G5:G28" si="8">P5+T5+V5</f>
        <v>855.70888669630983</v>
      </c>
      <c r="H5" s="39">
        <f t="shared" ref="H5:H28" si="9">G5-K5</f>
        <v>780.13783069630983</v>
      </c>
      <c r="I5" s="39">
        <f>H5+SUM(F$4:F5)</f>
        <v>852.85783069630986</v>
      </c>
      <c r="J5" s="39">
        <f t="shared" si="1"/>
        <v>1.9150560000000001</v>
      </c>
      <c r="K5" s="39">
        <f t="shared" si="2"/>
        <v>75.571056000000013</v>
      </c>
      <c r="L5" s="40">
        <f t="shared" si="3"/>
        <v>11.323235799382104</v>
      </c>
      <c r="M5" s="41">
        <f t="shared" si="4"/>
        <v>-0.33344753747323347</v>
      </c>
      <c r="N5" s="36">
        <v>38.909999999999997</v>
      </c>
      <c r="O5" s="42">
        <f t="shared" ref="O5:O28" si="10">O4*(1+M5)-IF(AND($C$15="否",$C$20=0),F5)</f>
        <v>306.59589603283172</v>
      </c>
      <c r="P5" s="42">
        <f t="shared" ref="P5:P28" si="11">IF($C$21=3,(O5+U5)*$C$18,O5)</f>
        <v>306.59589603283172</v>
      </c>
      <c r="Q5" s="41">
        <f t="shared" si="5"/>
        <v>-0.55570781469950348</v>
      </c>
      <c r="R5" s="36">
        <v>2.2600631473224988</v>
      </c>
      <c r="S5" s="42">
        <f t="shared" ref="S5:S28" si="12">T4*(1+Q5)</f>
        <v>168.91776683539183</v>
      </c>
      <c r="T5" s="38">
        <f t="shared" ref="T5:T28" si="13">IF($C$21=1,IF(Q5&lt;0,S5+$C$23,S5-(S5-T4)*$C$22),IF($C$21=2,(S5+U5)/2,S5))</f>
        <v>274.55649533173903</v>
      </c>
      <c r="U5" s="38">
        <f t="shared" si="6"/>
        <v>380.19522382808623</v>
      </c>
      <c r="V5" s="38">
        <f t="shared" si="7"/>
        <v>274.55649533173903</v>
      </c>
      <c r="W5" s="11"/>
      <c r="X5" s="11"/>
      <c r="Y5" s="10"/>
      <c r="Z5" s="10"/>
      <c r="AA5" s="10"/>
    </row>
    <row r="6" spans="1:27" ht="18" customHeight="1" x14ac:dyDescent="0.4">
      <c r="A6" s="207"/>
      <c r="B6" s="29" t="s">
        <v>360</v>
      </c>
      <c r="C6" s="155">
        <v>0</v>
      </c>
      <c r="E6" s="31">
        <v>2002</v>
      </c>
      <c r="F6" s="38">
        <f t="shared" si="0"/>
        <v>37.4544</v>
      </c>
      <c r="G6" s="38">
        <f t="shared" si="8"/>
        <v>574.28392215340955</v>
      </c>
      <c r="H6" s="39">
        <f t="shared" si="9"/>
        <v>458.31980429740952</v>
      </c>
      <c r="I6" s="39">
        <f>H6+SUM(F$4:F6)</f>
        <v>568.49420429740951</v>
      </c>
      <c r="J6" s="39">
        <f t="shared" si="1"/>
        <v>2.9386618560000004</v>
      </c>
      <c r="K6" s="39">
        <f t="shared" si="2"/>
        <v>115.96411785600002</v>
      </c>
      <c r="L6" s="40">
        <f t="shared" si="3"/>
        <v>4.9522553421786402</v>
      </c>
      <c r="M6" s="41">
        <f t="shared" si="4"/>
        <v>-0.3736828321768183</v>
      </c>
      <c r="N6" s="36">
        <v>24.370000999999998</v>
      </c>
      <c r="O6" s="42">
        <f t="shared" si="10"/>
        <v>192.02627326949383</v>
      </c>
      <c r="P6" s="42">
        <f t="shared" si="11"/>
        <v>192.02627326949383</v>
      </c>
      <c r="Q6" s="41">
        <f t="shared" si="5"/>
        <v>-0.60772680528994838</v>
      </c>
      <c r="R6" s="36">
        <v>0.88656219104665057</v>
      </c>
      <c r="S6" s="42">
        <f t="shared" si="12"/>
        <v>107.70115355217665</v>
      </c>
      <c r="T6" s="38">
        <f t="shared" si="13"/>
        <v>191.12882444195785</v>
      </c>
      <c r="U6" s="38">
        <f t="shared" si="6"/>
        <v>274.55649533173903</v>
      </c>
      <c r="V6" s="38">
        <f t="shared" si="7"/>
        <v>191.12882444195785</v>
      </c>
      <c r="W6" s="11"/>
      <c r="X6" s="11"/>
      <c r="Y6" s="10"/>
      <c r="Z6" s="10"/>
      <c r="AA6" s="10"/>
    </row>
    <row r="7" spans="1:27" ht="18" customHeight="1" x14ac:dyDescent="0.4">
      <c r="A7" s="207"/>
      <c r="B7" s="29" t="s">
        <v>437</v>
      </c>
      <c r="C7" s="154">
        <v>0</v>
      </c>
      <c r="E7" s="31">
        <v>2003</v>
      </c>
      <c r="F7" s="38">
        <f t="shared" si="0"/>
        <v>38.203488</v>
      </c>
      <c r="G7" s="38">
        <f t="shared" si="8"/>
        <v>906.22715636713781</v>
      </c>
      <c r="H7" s="39">
        <f t="shared" si="9"/>
        <v>748.05119275888183</v>
      </c>
      <c r="I7" s="39">
        <f>H7+SUM(F$4:F7)</f>
        <v>896.42908075888181</v>
      </c>
      <c r="J7" s="39">
        <f t="shared" si="1"/>
        <v>4.0083577522560008</v>
      </c>
      <c r="K7" s="39">
        <f t="shared" si="2"/>
        <v>158.17596360825601</v>
      </c>
      <c r="L7" s="40">
        <f t="shared" si="3"/>
        <v>5.7292343014361578</v>
      </c>
      <c r="M7" s="41">
        <f t="shared" si="4"/>
        <v>0.49610166203932471</v>
      </c>
      <c r="N7" s="36">
        <v>36.459999000000003</v>
      </c>
      <c r="O7" s="42">
        <f t="shared" si="10"/>
        <v>287.29082659370727</v>
      </c>
      <c r="P7" s="42">
        <f t="shared" si="11"/>
        <v>287.29082659370727</v>
      </c>
      <c r="Q7" s="41">
        <f t="shared" si="5"/>
        <v>1.2383201831568302</v>
      </c>
      <c r="R7" s="36">
        <v>1.9844100458434597</v>
      </c>
      <c r="S7" s="42">
        <f t="shared" si="12"/>
        <v>427.80750533147267</v>
      </c>
      <c r="T7" s="38">
        <f t="shared" si="13"/>
        <v>309.46816488671527</v>
      </c>
      <c r="U7" s="38">
        <f t="shared" si="6"/>
        <v>191.12882444195785</v>
      </c>
      <c r="V7" s="38">
        <f t="shared" si="7"/>
        <v>309.46816488671527</v>
      </c>
      <c r="W7" s="11"/>
      <c r="X7" s="11"/>
      <c r="Y7" s="10"/>
      <c r="Z7" s="10"/>
      <c r="AA7" s="10"/>
    </row>
    <row r="8" spans="1:27" ht="18" customHeight="1" x14ac:dyDescent="0.4">
      <c r="A8" s="207"/>
      <c r="B8" s="29" t="s">
        <v>425</v>
      </c>
      <c r="C8" s="156">
        <f>IF(C5&gt;C6+C7,C5-C6-C7,0)</f>
        <v>3</v>
      </c>
      <c r="E8" s="31">
        <v>2004</v>
      </c>
      <c r="F8" s="38">
        <f t="shared" si="0"/>
        <v>38.967557759999998</v>
      </c>
      <c r="G8" s="38">
        <f t="shared" si="8"/>
        <v>995.0137337554529</v>
      </c>
      <c r="H8" s="39">
        <f t="shared" si="9"/>
        <v>792.74448083162224</v>
      </c>
      <c r="I8" s="39">
        <f>H8+SUM(F$4:F8)</f>
        <v>980.0899265916222</v>
      </c>
      <c r="J8" s="39">
        <f t="shared" si="1"/>
        <v>5.1257315555746565</v>
      </c>
      <c r="K8" s="39">
        <f t="shared" si="2"/>
        <v>202.26925292383066</v>
      </c>
      <c r="L8" s="40">
        <f t="shared" si="3"/>
        <v>4.9192535166486682</v>
      </c>
      <c r="M8" s="41">
        <f t="shared" si="4"/>
        <v>9.4898494100342567E-2</v>
      </c>
      <c r="N8" s="36">
        <v>39.919998</v>
      </c>
      <c r="O8" s="42">
        <f t="shared" si="10"/>
        <v>314.55429340629274</v>
      </c>
      <c r="P8" s="42">
        <f t="shared" si="11"/>
        <v>314.55429340629274</v>
      </c>
      <c r="Q8" s="41">
        <f t="shared" si="5"/>
        <v>0.19880271238319755</v>
      </c>
      <c r="R8" s="36">
        <v>2.3789161454376049</v>
      </c>
      <c r="S8" s="42">
        <f t="shared" si="12"/>
        <v>370.99127546244483</v>
      </c>
      <c r="T8" s="38">
        <f t="shared" si="13"/>
        <v>340.22972017458005</v>
      </c>
      <c r="U8" s="38">
        <f t="shared" si="6"/>
        <v>309.46816488671527</v>
      </c>
      <c r="V8" s="38">
        <f t="shared" si="7"/>
        <v>340.22972017458005</v>
      </c>
      <c r="W8" s="11"/>
      <c r="X8" s="11"/>
      <c r="Y8" s="10"/>
      <c r="Z8" s="10"/>
      <c r="AA8" s="10"/>
    </row>
    <row r="9" spans="1:27" ht="18" customHeight="1" x14ac:dyDescent="0.4">
      <c r="A9" s="207"/>
      <c r="B9" s="119" t="s">
        <v>359</v>
      </c>
      <c r="C9" s="157">
        <f>C5*12</f>
        <v>36</v>
      </c>
      <c r="E9" s="31">
        <v>2005</v>
      </c>
      <c r="F9" s="38">
        <f t="shared" si="0"/>
        <v>39.746908915200002</v>
      </c>
      <c r="G9" s="38">
        <f t="shared" si="8"/>
        <v>1007.2783901292656</v>
      </c>
      <c r="H9" s="39">
        <f t="shared" si="9"/>
        <v>758.96980808242017</v>
      </c>
      <c r="I9" s="39">
        <f>H9+SUM(F$4:F9)</f>
        <v>986.06216275762017</v>
      </c>
      <c r="J9" s="39">
        <f t="shared" si="1"/>
        <v>6.2924202078147973</v>
      </c>
      <c r="K9" s="39">
        <f t="shared" si="2"/>
        <v>248.30858204684546</v>
      </c>
      <c r="L9" s="40">
        <f t="shared" si="3"/>
        <v>4.0565589067688137</v>
      </c>
      <c r="M9" s="41">
        <f t="shared" si="4"/>
        <v>1.2274599813356627E-2</v>
      </c>
      <c r="N9" s="36">
        <v>40.409999999999997</v>
      </c>
      <c r="O9" s="42">
        <f t="shared" si="10"/>
        <v>318.41532147742817</v>
      </c>
      <c r="P9" s="42">
        <f t="shared" si="11"/>
        <v>318.41532147742817</v>
      </c>
      <c r="Q9" s="41">
        <f t="shared" si="5"/>
        <v>2.4699865427291988E-2</v>
      </c>
      <c r="R9" s="36">
        <v>2.4376750540927259</v>
      </c>
      <c r="S9" s="42">
        <f t="shared" si="12"/>
        <v>348.63334847725741</v>
      </c>
      <c r="T9" s="38">
        <f t="shared" si="13"/>
        <v>344.43153432591873</v>
      </c>
      <c r="U9" s="38">
        <f t="shared" si="6"/>
        <v>340.22972017458005</v>
      </c>
      <c r="V9" s="38">
        <f t="shared" si="7"/>
        <v>344.43153432591873</v>
      </c>
      <c r="W9" s="11"/>
      <c r="X9" s="11"/>
      <c r="Y9" s="10"/>
      <c r="Z9" s="10"/>
      <c r="AA9" s="10"/>
    </row>
    <row r="10" spans="1:27" ht="18" customHeight="1" x14ac:dyDescent="0.4">
      <c r="A10" s="207"/>
      <c r="B10" s="29" t="s">
        <v>426</v>
      </c>
      <c r="C10" s="158">
        <f>C8*12</f>
        <v>36</v>
      </c>
      <c r="E10" s="31">
        <v>2006</v>
      </c>
      <c r="F10" s="38">
        <f t="shared" si="0"/>
        <v>40.541847093504003</v>
      </c>
      <c r="G10" s="38">
        <f t="shared" si="8"/>
        <v>1042.3456367506028</v>
      </c>
      <c r="H10" s="39">
        <f t="shared" si="9"/>
        <v>745.98509645260424</v>
      </c>
      <c r="I10" s="39">
        <f>H10+SUM(F$4:F10)</f>
        <v>1013.6192982213082</v>
      </c>
      <c r="J10" s="39">
        <f t="shared" si="1"/>
        <v>7.5101111576490851</v>
      </c>
      <c r="K10" s="39">
        <f t="shared" si="2"/>
        <v>296.36054029799851</v>
      </c>
      <c r="L10" s="40">
        <f t="shared" si="3"/>
        <v>3.5171539223895874</v>
      </c>
      <c r="M10" s="41">
        <f t="shared" si="4"/>
        <v>6.8052462261816382E-2</v>
      </c>
      <c r="N10" s="36">
        <v>43.16</v>
      </c>
      <c r="O10" s="42">
        <f t="shared" si="10"/>
        <v>340.08426812585498</v>
      </c>
      <c r="P10" s="42">
        <f t="shared" si="11"/>
        <v>340.08426812585498</v>
      </c>
      <c r="Q10" s="41">
        <f t="shared" si="5"/>
        <v>3.8899748244979701E-2</v>
      </c>
      <c r="R10" s="36">
        <v>2.5325000000000002</v>
      </c>
      <c r="S10" s="42">
        <f t="shared" si="12"/>
        <v>357.8298342988291</v>
      </c>
      <c r="T10" s="38">
        <f t="shared" si="13"/>
        <v>351.13068431237389</v>
      </c>
      <c r="U10" s="38">
        <f t="shared" si="6"/>
        <v>344.43153432591873</v>
      </c>
      <c r="V10" s="38">
        <f t="shared" si="7"/>
        <v>351.13068431237389</v>
      </c>
      <c r="W10" s="11"/>
      <c r="X10" s="11"/>
      <c r="Y10" s="10"/>
      <c r="Z10" s="10"/>
      <c r="AA10" s="10"/>
    </row>
    <row r="11" spans="1:27" ht="18" customHeight="1" x14ac:dyDescent="0.4">
      <c r="A11" s="208"/>
      <c r="B11" s="29" t="s">
        <v>404</v>
      </c>
      <c r="C11" s="159">
        <f>C10/C14</f>
        <v>1.8518518518518517E-2</v>
      </c>
      <c r="E11" s="31">
        <v>2007</v>
      </c>
      <c r="F11" s="38">
        <f t="shared" si="0"/>
        <v>41.352684035374075</v>
      </c>
      <c r="G11" s="38">
        <f t="shared" si="8"/>
        <v>1184.6257897414489</v>
      </c>
      <c r="H11" s="39">
        <f t="shared" si="9"/>
        <v>838.13202157540866</v>
      </c>
      <c r="I11" s="39">
        <f>H11+SUM(F$4:F11)</f>
        <v>1147.1189073794867</v>
      </c>
      <c r="J11" s="39">
        <f t="shared" si="1"/>
        <v>8.7805438326676875</v>
      </c>
      <c r="K11" s="39">
        <f t="shared" si="2"/>
        <v>346.49376816604024</v>
      </c>
      <c r="L11" s="40">
        <f t="shared" si="3"/>
        <v>3.4188949371631261</v>
      </c>
      <c r="M11" s="41">
        <f t="shared" si="4"/>
        <v>0.18674701112140887</v>
      </c>
      <c r="N11" s="36">
        <v>51.220001000000003</v>
      </c>
      <c r="O11" s="42">
        <f t="shared" si="10"/>
        <v>403.59398872777024</v>
      </c>
      <c r="P11" s="42">
        <f t="shared" si="11"/>
        <v>403.59398872777024</v>
      </c>
      <c r="Q11" s="41">
        <f t="shared" si="5"/>
        <v>0.22433366238894362</v>
      </c>
      <c r="R11" s="36">
        <v>3.100625</v>
      </c>
      <c r="S11" s="42">
        <f t="shared" si="12"/>
        <v>429.90111670130472</v>
      </c>
      <c r="T11" s="38">
        <f t="shared" si="13"/>
        <v>390.51590050683933</v>
      </c>
      <c r="U11" s="38">
        <f t="shared" si="6"/>
        <v>351.13068431237389</v>
      </c>
      <c r="V11" s="38">
        <f t="shared" si="7"/>
        <v>390.51590050683933</v>
      </c>
      <c r="W11" s="11"/>
      <c r="X11" s="11"/>
      <c r="Y11" s="10"/>
      <c r="Z11" s="10"/>
      <c r="AA11" s="10"/>
    </row>
    <row r="12" spans="1:27" ht="18" customHeight="1" x14ac:dyDescent="0.4">
      <c r="A12" s="206" t="s">
        <v>356</v>
      </c>
      <c r="B12" s="118" t="s">
        <v>350</v>
      </c>
      <c r="C12" s="160">
        <v>50</v>
      </c>
      <c r="E12" s="31">
        <v>2008</v>
      </c>
      <c r="F12" s="38">
        <f t="shared" si="0"/>
        <v>42.179737716081561</v>
      </c>
      <c r="G12" s="38">
        <f t="shared" si="8"/>
        <v>730.69101248447419</v>
      </c>
      <c r="H12" s="39">
        <f t="shared" si="9"/>
        <v>331.91199544941725</v>
      </c>
      <c r="I12" s="39">
        <f>H12+SUM(F$4:F12)</f>
        <v>683.07861896957684</v>
      </c>
      <c r="J12" s="39">
        <f t="shared" si="1"/>
        <v>10.105511152935167</v>
      </c>
      <c r="K12" s="39">
        <f t="shared" si="2"/>
        <v>398.77901703505694</v>
      </c>
      <c r="L12" s="40">
        <f t="shared" si="3"/>
        <v>1.8323206118446262</v>
      </c>
      <c r="M12" s="41">
        <f t="shared" si="4"/>
        <v>-0.4193674459319125</v>
      </c>
      <c r="N12" s="36">
        <v>29.74</v>
      </c>
      <c r="O12" s="42">
        <f t="shared" si="10"/>
        <v>234.33980848153212</v>
      </c>
      <c r="P12" s="42">
        <f t="shared" si="11"/>
        <v>234.33980848153212</v>
      </c>
      <c r="Q12" s="41">
        <f t="shared" si="5"/>
        <v>-0.72898593025599678</v>
      </c>
      <c r="R12" s="36">
        <v>0.84031299999999998</v>
      </c>
      <c r="S12" s="42">
        <f t="shared" si="12"/>
        <v>105.83530349610278</v>
      </c>
      <c r="T12" s="38">
        <f t="shared" si="13"/>
        <v>248.17560200147105</v>
      </c>
      <c r="U12" s="38">
        <f t="shared" si="6"/>
        <v>390.51590050683933</v>
      </c>
      <c r="V12" s="38">
        <f t="shared" si="7"/>
        <v>248.17560200147105</v>
      </c>
      <c r="W12" s="11"/>
      <c r="X12" s="11"/>
      <c r="Y12" s="10"/>
      <c r="Z12" s="10"/>
      <c r="AA12" s="10"/>
    </row>
    <row r="13" spans="1:27" ht="18" customHeight="1" x14ac:dyDescent="0.4">
      <c r="A13" s="207"/>
      <c r="B13" s="29" t="s">
        <v>410</v>
      </c>
      <c r="C13" s="158">
        <f>C12*C9</f>
        <v>1800</v>
      </c>
      <c r="E13" s="31">
        <v>2009</v>
      </c>
      <c r="F13" s="38">
        <f t="shared" si="0"/>
        <v>43.02333247040319</v>
      </c>
      <c r="G13" s="38">
        <f t="shared" si="8"/>
        <v>1157.6259071327759</v>
      </c>
      <c r="H13" s="39">
        <f t="shared" si="9"/>
        <v>704.33669654017376</v>
      </c>
      <c r="I13" s="39">
        <f>H13+SUM(F$4:F13)</f>
        <v>1098.5266525307366</v>
      </c>
      <c r="J13" s="39">
        <f t="shared" si="1"/>
        <v>11.486861087141962</v>
      </c>
      <c r="K13" s="39">
        <f t="shared" si="2"/>
        <v>453.2892105926021</v>
      </c>
      <c r="L13" s="40">
        <f t="shared" si="3"/>
        <v>2.5538351235392693</v>
      </c>
      <c r="M13" s="41">
        <f t="shared" si="4"/>
        <v>0.53833221250840624</v>
      </c>
      <c r="N13" s="36">
        <v>45.75</v>
      </c>
      <c r="O13" s="42">
        <f t="shared" si="10"/>
        <v>360.49247606019151</v>
      </c>
      <c r="P13" s="42">
        <f t="shared" si="11"/>
        <v>360.49247606019151</v>
      </c>
      <c r="Q13" s="41">
        <f t="shared" si="5"/>
        <v>1.2119733956275818</v>
      </c>
      <c r="R13" s="36">
        <v>1.8587499999999999</v>
      </c>
      <c r="S13" s="42">
        <f t="shared" si="12"/>
        <v>548.95782907111322</v>
      </c>
      <c r="T13" s="38">
        <f t="shared" si="13"/>
        <v>398.56671553629212</v>
      </c>
      <c r="U13" s="38">
        <f t="shared" si="6"/>
        <v>248.17560200147105</v>
      </c>
      <c r="V13" s="38">
        <f t="shared" si="7"/>
        <v>398.56671553629212</v>
      </c>
      <c r="W13" s="11"/>
      <c r="X13" s="11"/>
      <c r="Y13" s="10"/>
      <c r="Z13" s="10"/>
      <c r="AA13" s="10"/>
    </row>
    <row r="14" spans="1:27" ht="18" customHeight="1" x14ac:dyDescent="0.4">
      <c r="A14" s="207"/>
      <c r="B14" s="118" t="s">
        <v>358</v>
      </c>
      <c r="C14" s="158">
        <f>C12*C9+C4</f>
        <v>1944</v>
      </c>
      <c r="E14" s="31">
        <v>2010</v>
      </c>
      <c r="F14" s="38">
        <f t="shared" si="0"/>
        <v>43.883799119811258</v>
      </c>
      <c r="G14" s="38">
        <f t="shared" si="8"/>
        <v>1373.3411858509623</v>
      </c>
      <c r="H14" s="39">
        <f t="shared" si="9"/>
        <v>863.24167788602631</v>
      </c>
      <c r="I14" s="39">
        <f>H14+SUM(F$4:F14)</f>
        <v>1301.3154329964004</v>
      </c>
      <c r="J14" s="39">
        <f t="shared" si="1"/>
        <v>12.926498252522746</v>
      </c>
      <c r="K14" s="39">
        <f t="shared" si="2"/>
        <v>510.09950796493609</v>
      </c>
      <c r="L14" s="40">
        <f t="shared" si="3"/>
        <v>2.6923005500043824</v>
      </c>
      <c r="M14" s="41">
        <f t="shared" si="4"/>
        <v>0.19038249180327876</v>
      </c>
      <c r="N14" s="36">
        <v>54.459999000000003</v>
      </c>
      <c r="O14" s="42">
        <f t="shared" si="10"/>
        <v>429.12393192886458</v>
      </c>
      <c r="P14" s="42">
        <f t="shared" si="11"/>
        <v>429.12393192886458</v>
      </c>
      <c r="Q14" s="41">
        <f t="shared" si="5"/>
        <v>0.36903187626092804</v>
      </c>
      <c r="R14" s="36">
        <v>2.5446879999999998</v>
      </c>
      <c r="S14" s="42">
        <f t="shared" si="12"/>
        <v>545.65053838580559</v>
      </c>
      <c r="T14" s="38">
        <f t="shared" si="13"/>
        <v>472.10862696104886</v>
      </c>
      <c r="U14" s="38">
        <f t="shared" si="6"/>
        <v>398.56671553629212</v>
      </c>
      <c r="V14" s="38">
        <f t="shared" si="7"/>
        <v>472.10862696104886</v>
      </c>
      <c r="W14" s="11"/>
      <c r="X14" s="11"/>
      <c r="Y14" s="10"/>
      <c r="Z14" s="10"/>
      <c r="AA14" s="10"/>
    </row>
    <row r="15" spans="1:27" ht="18" customHeight="1" x14ac:dyDescent="0.4">
      <c r="A15" s="207"/>
      <c r="B15" s="97" t="s">
        <v>388</v>
      </c>
      <c r="C15" s="161" t="s">
        <v>407</v>
      </c>
      <c r="E15" s="31">
        <v>2011</v>
      </c>
      <c r="F15" s="38">
        <f t="shared" si="0"/>
        <v>44.76147510220747</v>
      </c>
      <c r="G15" s="38">
        <f t="shared" si="8"/>
        <v>1384.3101236373457</v>
      </c>
      <c r="H15" s="39">
        <f t="shared" si="9"/>
        <v>815.02275501045631</v>
      </c>
      <c r="I15" s="39">
        <f>H15+SUM(F$4:F15)</f>
        <v>1297.8579852230378</v>
      </c>
      <c r="J15" s="39">
        <f t="shared" si="1"/>
        <v>14.426385559745732</v>
      </c>
      <c r="K15" s="39">
        <f t="shared" si="2"/>
        <v>569.28736862688936</v>
      </c>
      <c r="L15" s="40">
        <f t="shared" si="3"/>
        <v>2.4316543804164779</v>
      </c>
      <c r="M15" s="41">
        <f t="shared" si="4"/>
        <v>2.5156133403527917E-2</v>
      </c>
      <c r="N15" s="36">
        <v>55.830002</v>
      </c>
      <c r="O15" s="42">
        <f t="shared" si="10"/>
        <v>439.91903080711353</v>
      </c>
      <c r="P15" s="42">
        <f t="shared" si="11"/>
        <v>439.91903080711353</v>
      </c>
      <c r="Q15" s="41">
        <f t="shared" si="5"/>
        <v>3.6821802908645998E-4</v>
      </c>
      <c r="R15" s="36">
        <v>2.5456249999999998</v>
      </c>
      <c r="S15" s="42">
        <f t="shared" si="12"/>
        <v>472.28246586918317</v>
      </c>
      <c r="T15" s="38">
        <f t="shared" si="13"/>
        <v>472.19554641511604</v>
      </c>
      <c r="U15" s="38">
        <f t="shared" si="6"/>
        <v>472.10862696104886</v>
      </c>
      <c r="V15" s="38">
        <f t="shared" si="7"/>
        <v>472.19554641511604</v>
      </c>
      <c r="W15" s="11"/>
      <c r="X15" s="11"/>
      <c r="Y15" s="10"/>
      <c r="Z15" s="10"/>
      <c r="AA15" s="10"/>
    </row>
    <row r="16" spans="1:27" ht="18" customHeight="1" x14ac:dyDescent="0.4">
      <c r="A16" s="207"/>
      <c r="B16" s="29" t="s">
        <v>368</v>
      </c>
      <c r="C16" s="167">
        <v>2.5999999999999999E-2</v>
      </c>
      <c r="E16" s="31">
        <v>2012</v>
      </c>
      <c r="F16" s="38">
        <f t="shared" si="0"/>
        <v>45.65670460425163</v>
      </c>
      <c r="G16" s="38">
        <f t="shared" si="8"/>
        <v>1620.8243372062877</v>
      </c>
      <c r="H16" s="39">
        <f t="shared" si="9"/>
        <v>989.89171807113701</v>
      </c>
      <c r="I16" s="39">
        <f>H16+SUM(F$4:F16)</f>
        <v>1518.3836528879701</v>
      </c>
      <c r="J16" s="39">
        <f t="shared" si="1"/>
        <v>15.988545904009666</v>
      </c>
      <c r="K16" s="39">
        <f t="shared" si="2"/>
        <v>630.93261913515073</v>
      </c>
      <c r="L16" s="40">
        <f t="shared" si="3"/>
        <v>2.5689341271149186</v>
      </c>
      <c r="M16" s="41">
        <f t="shared" si="4"/>
        <v>0.16657701355625965</v>
      </c>
      <c r="N16" s="36">
        <v>65.129997000000003</v>
      </c>
      <c r="O16" s="42">
        <f t="shared" si="10"/>
        <v>513.19942916552668</v>
      </c>
      <c r="P16" s="42">
        <f t="shared" si="11"/>
        <v>513.19942916552668</v>
      </c>
      <c r="Q16" s="41">
        <f t="shared" si="5"/>
        <v>0.34569113675423535</v>
      </c>
      <c r="R16" s="36">
        <v>3.4256250000000001</v>
      </c>
      <c r="S16" s="42">
        <f t="shared" si="12"/>
        <v>635.4293616256449</v>
      </c>
      <c r="T16" s="38">
        <f t="shared" si="13"/>
        <v>553.81245402038053</v>
      </c>
      <c r="U16" s="38">
        <f t="shared" si="6"/>
        <v>472.19554641511604</v>
      </c>
      <c r="V16" s="38">
        <f t="shared" si="7"/>
        <v>553.81245402038053</v>
      </c>
      <c r="W16" s="11"/>
      <c r="X16" s="11"/>
      <c r="Y16" s="10"/>
      <c r="Z16" s="10"/>
      <c r="AA16" s="10"/>
    </row>
    <row r="17" spans="1:27" ht="18" customHeight="1" x14ac:dyDescent="0.4">
      <c r="A17" s="207"/>
      <c r="B17" s="29" t="s">
        <v>387</v>
      </c>
      <c r="C17" s="162">
        <v>1.67</v>
      </c>
      <c r="E17" s="31">
        <v>2013</v>
      </c>
      <c r="F17" s="38">
        <f t="shared" si="0"/>
        <v>46.56983869633666</v>
      </c>
      <c r="G17" s="38">
        <f t="shared" si="8"/>
        <v>2253.2841493666137</v>
      </c>
      <c r="H17" s="39">
        <f t="shared" si="9"/>
        <v>1558.1666276315077</v>
      </c>
      <c r="I17" s="39">
        <f>H17+SUM(F$4:F17)</f>
        <v>2133.2284011446777</v>
      </c>
      <c r="J17" s="39">
        <f t="shared" si="1"/>
        <v>17.615063903618672</v>
      </c>
      <c r="K17" s="39">
        <f t="shared" si="2"/>
        <v>695.11752173510604</v>
      </c>
      <c r="L17" s="40">
        <f t="shared" si="3"/>
        <v>3.2415873271934164</v>
      </c>
      <c r="M17" s="41">
        <f t="shared" si="4"/>
        <v>0.35052975666496639</v>
      </c>
      <c r="N17" s="36">
        <v>87.959998999999996</v>
      </c>
      <c r="O17" s="42">
        <f t="shared" si="10"/>
        <v>693.09110019151842</v>
      </c>
      <c r="P17" s="42">
        <f t="shared" si="11"/>
        <v>693.09110019151842</v>
      </c>
      <c r="Q17" s="41">
        <f t="shared" si="5"/>
        <v>0.81718664477285152</v>
      </c>
      <c r="R17" s="36">
        <v>6.2249999999999996</v>
      </c>
      <c r="S17" s="42">
        <f t="shared" si="12"/>
        <v>1006.3805951547143</v>
      </c>
      <c r="T17" s="38">
        <f t="shared" si="13"/>
        <v>780.09652458754749</v>
      </c>
      <c r="U17" s="38">
        <f t="shared" si="6"/>
        <v>553.81245402038053</v>
      </c>
      <c r="V17" s="38">
        <f t="shared" si="7"/>
        <v>780.09652458754749</v>
      </c>
      <c r="W17" s="11"/>
      <c r="X17" s="11"/>
      <c r="Y17" s="10"/>
      <c r="Z17" s="10"/>
      <c r="AA17" s="10"/>
    </row>
    <row r="18" spans="1:27" ht="18" customHeight="1" x14ac:dyDescent="0.4">
      <c r="A18" s="207"/>
      <c r="B18" s="97" t="s">
        <v>389</v>
      </c>
      <c r="C18" s="162">
        <v>0.4</v>
      </c>
      <c r="E18" s="31">
        <v>2014</v>
      </c>
      <c r="F18" s="38">
        <f t="shared" si="0"/>
        <v>47.501235470263396</v>
      </c>
      <c r="G18" s="38">
        <f t="shared" si="8"/>
        <v>2664.6549155028642</v>
      </c>
      <c r="H18" s="39">
        <f t="shared" si="9"/>
        <v>1902.7280706101551</v>
      </c>
      <c r="I18" s="39">
        <f>H18+SUM(F$4:F18)</f>
        <v>2525.2910795935886</v>
      </c>
      <c r="J18" s="39">
        <f t="shared" si="1"/>
        <v>19.308087687339604</v>
      </c>
      <c r="K18" s="39">
        <f t="shared" si="2"/>
        <v>761.92684489270903</v>
      </c>
      <c r="L18" s="40">
        <f t="shared" si="3"/>
        <v>3.4972582123393861</v>
      </c>
      <c r="M18" s="41">
        <f t="shared" si="4"/>
        <v>0.17382902653284482</v>
      </c>
      <c r="N18" s="36">
        <v>103.25</v>
      </c>
      <c r="O18" s="42">
        <f t="shared" si="10"/>
        <v>813.57045143638845</v>
      </c>
      <c r="P18" s="42">
        <f t="shared" si="11"/>
        <v>813.57045143638845</v>
      </c>
      <c r="Q18" s="41">
        <f t="shared" si="5"/>
        <v>0.37289156626506043</v>
      </c>
      <c r="R18" s="36">
        <v>8.5462500000000006</v>
      </c>
      <c r="S18" s="42">
        <f t="shared" si="12"/>
        <v>1070.9879394789284</v>
      </c>
      <c r="T18" s="38">
        <f t="shared" si="13"/>
        <v>925.54223203323795</v>
      </c>
      <c r="U18" s="38">
        <f t="shared" si="6"/>
        <v>780.09652458754749</v>
      </c>
      <c r="V18" s="38">
        <f t="shared" si="7"/>
        <v>925.54223203323795</v>
      </c>
      <c r="W18" s="11"/>
      <c r="X18" s="11"/>
      <c r="Y18" s="10"/>
      <c r="Z18" s="10"/>
      <c r="AA18" s="10"/>
    </row>
    <row r="19" spans="1:27" ht="18" customHeight="1" x14ac:dyDescent="0.4">
      <c r="A19" s="207"/>
      <c r="B19" s="97" t="s">
        <v>390</v>
      </c>
      <c r="C19" s="162">
        <v>0.3</v>
      </c>
      <c r="E19" s="31">
        <v>2015</v>
      </c>
      <c r="F19" s="38">
        <f t="shared" si="0"/>
        <v>48.451260179668651</v>
      </c>
      <c r="G19" s="38">
        <f t="shared" si="8"/>
        <v>2867.7356186187862</v>
      </c>
      <c r="H19" s="39">
        <f t="shared" si="9"/>
        <v>2036.2876828145268</v>
      </c>
      <c r="I19" s="39">
        <f>H19+SUM(F$4:F19)</f>
        <v>2707.301951977629</v>
      </c>
      <c r="J19" s="39">
        <f t="shared" si="1"/>
        <v>21.069830731881819</v>
      </c>
      <c r="K19" s="39">
        <f t="shared" si="2"/>
        <v>831.44793580425949</v>
      </c>
      <c r="L19" s="40">
        <f t="shared" si="3"/>
        <v>3.4490862207082467</v>
      </c>
      <c r="M19" s="41">
        <f t="shared" si="4"/>
        <v>8.3389840193704573E-2</v>
      </c>
      <c r="N19" s="36">
        <v>111.860001</v>
      </c>
      <c r="O19" s="42">
        <f t="shared" si="10"/>
        <v>881.41396136798892</v>
      </c>
      <c r="P19" s="42">
        <f t="shared" si="11"/>
        <v>881.41396136798892</v>
      </c>
      <c r="Q19" s="41">
        <f t="shared" si="5"/>
        <v>0.14611671785870989</v>
      </c>
      <c r="R19" s="36">
        <v>9.7949999999999999</v>
      </c>
      <c r="S19" s="42">
        <f t="shared" si="12"/>
        <v>1060.7794252175593</v>
      </c>
      <c r="T19" s="38">
        <f t="shared" si="13"/>
        <v>993.16082862539861</v>
      </c>
      <c r="U19" s="38">
        <f t="shared" si="6"/>
        <v>925.54223203323795</v>
      </c>
      <c r="V19" s="38">
        <f t="shared" si="7"/>
        <v>993.16082862539861</v>
      </c>
      <c r="W19" s="11"/>
      <c r="X19" s="11"/>
      <c r="Y19" s="10"/>
      <c r="Z19" s="10"/>
      <c r="AA19" s="10"/>
    </row>
    <row r="20" spans="1:27" ht="18" customHeight="1" x14ac:dyDescent="0.4">
      <c r="A20" s="207"/>
      <c r="B20" s="97" t="s">
        <v>391</v>
      </c>
      <c r="C20" s="162">
        <v>0.3</v>
      </c>
      <c r="E20" s="31">
        <v>2016</v>
      </c>
      <c r="F20" s="38">
        <f t="shared" si="0"/>
        <v>49.420285383262033</v>
      </c>
      <c r="G20" s="38">
        <f t="shared" si="8"/>
        <v>3018.2515321361539</v>
      </c>
      <c r="H20" s="39">
        <f t="shared" si="9"/>
        <v>2114.4807371977568</v>
      </c>
      <c r="I20" s="39">
        <f>H20+SUM(F$4:F20)</f>
        <v>2834.9152917441206</v>
      </c>
      <c r="J20" s="39">
        <f t="shared" si="1"/>
        <v>22.902573750875558</v>
      </c>
      <c r="K20" s="39">
        <f t="shared" si="2"/>
        <v>903.7707949383971</v>
      </c>
      <c r="L20" s="40">
        <f t="shared" si="3"/>
        <v>3.3396205642403882</v>
      </c>
      <c r="M20" s="41">
        <f t="shared" si="4"/>
        <v>5.9181136606641011E-2</v>
      </c>
      <c r="N20" s="36">
        <v>118.480003</v>
      </c>
      <c r="O20" s="42">
        <f t="shared" si="10"/>
        <v>933.57704142270848</v>
      </c>
      <c r="P20" s="42">
        <f t="shared" si="11"/>
        <v>933.57704142270848</v>
      </c>
      <c r="Q20" s="41">
        <f t="shared" si="5"/>
        <v>9.9030117406840285E-2</v>
      </c>
      <c r="R20" s="36">
        <v>10.765000000000001</v>
      </c>
      <c r="S20" s="42">
        <f t="shared" si="12"/>
        <v>1091.5136620880464</v>
      </c>
      <c r="T20" s="38">
        <f t="shared" si="13"/>
        <v>1042.3372453567226</v>
      </c>
      <c r="U20" s="38">
        <f t="shared" si="6"/>
        <v>993.16082862539861</v>
      </c>
      <c r="V20" s="38">
        <f t="shared" si="7"/>
        <v>1042.3372453567226</v>
      </c>
      <c r="W20" s="11"/>
      <c r="X20" s="11"/>
      <c r="Y20" s="10"/>
      <c r="Z20" s="10"/>
      <c r="AA20" s="10"/>
    </row>
    <row r="21" spans="1:27" ht="18" customHeight="1" x14ac:dyDescent="0.4">
      <c r="A21" s="207"/>
      <c r="B21" s="97" t="s">
        <v>392</v>
      </c>
      <c r="C21" s="163">
        <v>2</v>
      </c>
      <c r="E21" s="31">
        <v>2017</v>
      </c>
      <c r="F21" s="38">
        <f t="shared" si="0"/>
        <v>50.408691090927277</v>
      </c>
      <c r="G21" s="38">
        <f t="shared" si="8"/>
        <v>4044.7381091512748</v>
      </c>
      <c r="H21" s="39">
        <f t="shared" si="9"/>
        <v>3065.7499564851878</v>
      </c>
      <c r="I21" s="39">
        <f>H21+SUM(F$4:F21)</f>
        <v>3836.5932021224789</v>
      </c>
      <c r="J21" s="39">
        <f t="shared" si="1"/>
        <v>24.808666636762432</v>
      </c>
      <c r="K21" s="39">
        <f t="shared" si="2"/>
        <v>978.98815266608676</v>
      </c>
      <c r="L21" s="40">
        <f t="shared" si="3"/>
        <v>4.1315495985688946</v>
      </c>
      <c r="M21" s="41">
        <f t="shared" si="4"/>
        <v>0.31465218649597781</v>
      </c>
      <c r="N21" s="36">
        <v>155.759995</v>
      </c>
      <c r="O21" s="42">
        <f t="shared" si="10"/>
        <v>1227.3290987688099</v>
      </c>
      <c r="P21" s="42">
        <f t="shared" si="11"/>
        <v>1227.3290987688099</v>
      </c>
      <c r="Q21" s="41">
        <f t="shared" si="5"/>
        <v>0.70297259637714804</v>
      </c>
      <c r="R21" s="36">
        <v>18.3325</v>
      </c>
      <c r="S21" s="42">
        <f t="shared" si="12"/>
        <v>1775.0717650257423</v>
      </c>
      <c r="T21" s="38">
        <f t="shared" si="13"/>
        <v>1408.7045051912323</v>
      </c>
      <c r="U21" s="38">
        <f t="shared" si="6"/>
        <v>1042.3372453567226</v>
      </c>
      <c r="V21" s="38">
        <f t="shared" si="7"/>
        <v>1408.7045051912323</v>
      </c>
      <c r="W21" s="11"/>
      <c r="X21" s="11"/>
      <c r="Y21" s="10"/>
      <c r="Z21" s="10"/>
      <c r="AA21" s="10"/>
    </row>
    <row r="22" spans="1:27" ht="18" customHeight="1" x14ac:dyDescent="0.4">
      <c r="A22" s="207"/>
      <c r="B22" s="29" t="s">
        <v>405</v>
      </c>
      <c r="C22" s="168">
        <v>0.5</v>
      </c>
      <c r="E22" s="31">
        <v>2018</v>
      </c>
      <c r="F22" s="38">
        <f t="shared" si="0"/>
        <v>51.416864912745815</v>
      </c>
      <c r="G22" s="38">
        <f t="shared" si="8"/>
        <v>3914.9664127799615</v>
      </c>
      <c r="H22" s="39">
        <f t="shared" si="9"/>
        <v>2857.7708647440795</v>
      </c>
      <c r="I22" s="39">
        <f>H22+SUM(F$4:F22)</f>
        <v>3680.0309752941166</v>
      </c>
      <c r="J22" s="39">
        <f t="shared" si="1"/>
        <v>26.790530457049645</v>
      </c>
      <c r="K22" s="39">
        <f t="shared" si="2"/>
        <v>1057.1955480358822</v>
      </c>
      <c r="L22" s="40">
        <f t="shared" si="3"/>
        <v>3.7031620309538837</v>
      </c>
      <c r="M22" s="41">
        <f t="shared" si="4"/>
        <v>-9.630200617302279E-3</v>
      </c>
      <c r="N22" s="36">
        <v>154.259995</v>
      </c>
      <c r="O22" s="42">
        <f t="shared" si="10"/>
        <v>1215.5096733242135</v>
      </c>
      <c r="P22" s="42">
        <f t="shared" si="11"/>
        <v>1215.5096733242135</v>
      </c>
      <c r="Q22" s="41">
        <f t="shared" si="5"/>
        <v>-8.3731024137460752E-2</v>
      </c>
      <c r="R22" s="36">
        <v>16.797501</v>
      </c>
      <c r="S22" s="42">
        <f t="shared" si="12"/>
        <v>1290.7522342645157</v>
      </c>
      <c r="T22" s="38">
        <f t="shared" si="13"/>
        <v>1349.728369727874</v>
      </c>
      <c r="U22" s="38">
        <f t="shared" si="6"/>
        <v>1408.7045051912323</v>
      </c>
      <c r="V22" s="38">
        <f t="shared" si="7"/>
        <v>1349.728369727874</v>
      </c>
      <c r="W22" s="11"/>
      <c r="X22" s="11"/>
      <c r="Y22" s="10"/>
      <c r="Z22" s="10"/>
      <c r="AA22" s="10"/>
    </row>
    <row r="23" spans="1:27" ht="18" customHeight="1" x14ac:dyDescent="0.4">
      <c r="A23" s="207"/>
      <c r="B23" s="29" t="s">
        <v>406</v>
      </c>
      <c r="C23" s="157">
        <f>C10</f>
        <v>36</v>
      </c>
      <c r="E23" s="31">
        <v>2019</v>
      </c>
      <c r="F23" s="38">
        <f t="shared" si="0"/>
        <v>52.445202211000733</v>
      </c>
      <c r="G23" s="38">
        <f t="shared" si="8"/>
        <v>5473.5683046715812</v>
      </c>
      <c r="H23" s="39">
        <f t="shared" si="9"/>
        <v>4335.0768949182793</v>
      </c>
      <c r="I23" s="39">
        <f>H23+SUM(F$4:F23)</f>
        <v>5209.7822076793173</v>
      </c>
      <c r="J23" s="39">
        <f t="shared" si="1"/>
        <v>28.850659506418957</v>
      </c>
      <c r="K23" s="39">
        <f t="shared" si="2"/>
        <v>1138.4914097533019</v>
      </c>
      <c r="L23" s="40">
        <f t="shared" si="3"/>
        <v>4.8077379045465447</v>
      </c>
      <c r="M23" s="41">
        <f t="shared" si="4"/>
        <v>0.37825753851476535</v>
      </c>
      <c r="N23" s="36">
        <v>212.61000100000001</v>
      </c>
      <c r="O23" s="42">
        <f t="shared" si="10"/>
        <v>1675.2853703967169</v>
      </c>
      <c r="P23" s="42">
        <f t="shared" si="11"/>
        <v>1675.2853703967169</v>
      </c>
      <c r="Q23" s="41">
        <f t="shared" si="5"/>
        <v>0.81410913444803479</v>
      </c>
      <c r="R23" s="36">
        <v>30.4725</v>
      </c>
      <c r="S23" s="42">
        <f t="shared" si="12"/>
        <v>2448.5545645469906</v>
      </c>
      <c r="T23" s="38">
        <f t="shared" si="13"/>
        <v>1899.1414671374323</v>
      </c>
      <c r="U23" s="38">
        <f t="shared" si="6"/>
        <v>1349.728369727874</v>
      </c>
      <c r="V23" s="38">
        <f t="shared" si="7"/>
        <v>1899.1414671374323</v>
      </c>
      <c r="W23" s="11"/>
      <c r="X23" s="11"/>
      <c r="Y23" s="10"/>
      <c r="Z23" s="10"/>
      <c r="AA23" s="10"/>
    </row>
    <row r="24" spans="1:27" ht="18" customHeight="1" x14ac:dyDescent="0.4">
      <c r="A24" s="208"/>
      <c r="B24" s="29" t="s">
        <v>369</v>
      </c>
      <c r="C24" s="164">
        <f>C18+C19*2</f>
        <v>1</v>
      </c>
      <c r="E24" s="31">
        <v>2020</v>
      </c>
      <c r="F24" s="38">
        <f t="shared" si="0"/>
        <v>53.49410625522075</v>
      </c>
      <c r="G24" s="38">
        <f t="shared" si="8"/>
        <v>7958.2999503440451</v>
      </c>
      <c r="H24" s="39">
        <f t="shared" si="9"/>
        <v>6735.3228109193005</v>
      </c>
      <c r="I24" s="39">
        <f>H24+SUM(F$4:F24)</f>
        <v>7663.5222299355592</v>
      </c>
      <c r="J24" s="39">
        <f t="shared" si="1"/>
        <v>30.991623416221586</v>
      </c>
      <c r="K24" s="39">
        <f t="shared" si="2"/>
        <v>1222.9771394247441</v>
      </c>
      <c r="L24" s="40">
        <f t="shared" si="3"/>
        <v>6.5073170166430234</v>
      </c>
      <c r="M24" s="41">
        <f t="shared" si="4"/>
        <v>0.47565960455453815</v>
      </c>
      <c r="N24" s="36">
        <v>313.73998999999998</v>
      </c>
      <c r="O24" s="42">
        <f t="shared" si="10"/>
        <v>2472.1509471956224</v>
      </c>
      <c r="P24" s="42">
        <f t="shared" si="11"/>
        <v>2472.1509471956224</v>
      </c>
      <c r="Q24" s="41">
        <f t="shared" si="5"/>
        <v>0.88875215358109771</v>
      </c>
      <c r="R24" s="36">
        <v>57.555</v>
      </c>
      <c r="S24" s="42">
        <f t="shared" si="12"/>
        <v>3587.0075360109909</v>
      </c>
      <c r="T24" s="38">
        <f t="shared" si="13"/>
        <v>2743.0745015742114</v>
      </c>
      <c r="U24" s="38">
        <f t="shared" si="6"/>
        <v>1899.1414671374323</v>
      </c>
      <c r="V24" s="38">
        <f t="shared" si="7"/>
        <v>2743.0745015742114</v>
      </c>
      <c r="W24" s="11"/>
      <c r="X24" s="11"/>
      <c r="Y24" s="10"/>
      <c r="Z24" s="10"/>
      <c r="AA24" s="10"/>
    </row>
    <row r="25" spans="1:27" ht="18" customHeight="1" x14ac:dyDescent="0.4">
      <c r="A25" s="206" t="s">
        <v>366</v>
      </c>
      <c r="B25" s="29" t="s">
        <v>367</v>
      </c>
      <c r="C25" s="165">
        <f>MAX(E:E)-MIN(E:E)</f>
        <v>25</v>
      </c>
      <c r="E25" s="31">
        <v>2021</v>
      </c>
      <c r="F25" s="38">
        <f t="shared" si="0"/>
        <v>54.563988380325164</v>
      </c>
      <c r="G25" s="38">
        <f t="shared" si="8"/>
        <v>10120.678166483993</v>
      </c>
      <c r="H25" s="39">
        <f t="shared" si="9"/>
        <v>8809.9209693559915</v>
      </c>
      <c r="I25" s="39">
        <f>H25+SUM(F$4:F25)</f>
        <v>9792.6843767525752</v>
      </c>
      <c r="J25" s="39">
        <f t="shared" si="1"/>
        <v>33.216069322931801</v>
      </c>
      <c r="K25" s="39">
        <f t="shared" si="2"/>
        <v>1310.7571971280011</v>
      </c>
      <c r="L25" s="40">
        <f t="shared" si="3"/>
        <v>7.7212455431558205</v>
      </c>
      <c r="M25" s="41">
        <f t="shared" si="4"/>
        <v>0.26808828546211161</v>
      </c>
      <c r="N25" s="36">
        <v>397.85000600000001</v>
      </c>
      <c r="O25" s="42">
        <f t="shared" si="10"/>
        <v>3134.9056560328322</v>
      </c>
      <c r="P25" s="42">
        <f t="shared" si="11"/>
        <v>3134.9056560328322</v>
      </c>
      <c r="Q25" s="41">
        <f t="shared" si="5"/>
        <v>0.54669441403874564</v>
      </c>
      <c r="R25" s="36">
        <v>89.019997000000004</v>
      </c>
      <c r="S25" s="42">
        <f t="shared" si="12"/>
        <v>4242.6980088769487</v>
      </c>
      <c r="T25" s="38">
        <f t="shared" si="13"/>
        <v>3492.88625522558</v>
      </c>
      <c r="U25" s="38">
        <f t="shared" si="6"/>
        <v>2743.0745015742114</v>
      </c>
      <c r="V25" s="38">
        <f t="shared" si="7"/>
        <v>3492.88625522558</v>
      </c>
      <c r="W25" s="11"/>
      <c r="X25" s="11"/>
      <c r="Y25" s="10"/>
      <c r="Z25" s="10"/>
      <c r="AA25" s="10"/>
    </row>
    <row r="26" spans="1:27" ht="18" customHeight="1" x14ac:dyDescent="0.4">
      <c r="A26" s="207"/>
      <c r="B26" s="29" t="s">
        <v>363</v>
      </c>
      <c r="C26" s="159">
        <f>(O28/O3)^(1/C25)-1</f>
        <v>6.5994927857662589E-2</v>
      </c>
      <c r="E26" s="31">
        <v>2022</v>
      </c>
      <c r="F26" s="38">
        <f t="shared" si="0"/>
        <v>55.655268147931672</v>
      </c>
      <c r="G26" s="38">
        <f t="shared" si="8"/>
        <v>6965.9385695993496</v>
      </c>
      <c r="H26" s="39">
        <f t="shared" si="9"/>
        <v>5563.9993802262425</v>
      </c>
      <c r="I26" s="39">
        <f>H26+SUM(F$4:F26)</f>
        <v>6602.4180557707577</v>
      </c>
      <c r="J26" s="39">
        <f t="shared" si="1"/>
        <v>35.526724097174245</v>
      </c>
      <c r="K26" s="39">
        <f t="shared" si="2"/>
        <v>1401.939189373107</v>
      </c>
      <c r="L26" s="40">
        <f t="shared" si="3"/>
        <v>4.968787963416764</v>
      </c>
      <c r="M26" s="41">
        <f t="shared" si="4"/>
        <v>-0.3307025386848933</v>
      </c>
      <c r="N26" s="36">
        <v>266.27999899999998</v>
      </c>
      <c r="O26" s="42">
        <f t="shared" si="10"/>
        <v>2098.1843970451437</v>
      </c>
      <c r="P26" s="42">
        <f t="shared" si="11"/>
        <v>2098.1843970451437</v>
      </c>
      <c r="Q26" s="41">
        <f t="shared" si="5"/>
        <v>-0.60638056413324759</v>
      </c>
      <c r="R26" s="36">
        <v>35.040000999999997</v>
      </c>
      <c r="S26" s="42">
        <f t="shared" si="12"/>
        <v>1374.8679173286262</v>
      </c>
      <c r="T26" s="38">
        <f t="shared" si="13"/>
        <v>2433.877086277103</v>
      </c>
      <c r="U26" s="38">
        <f t="shared" si="6"/>
        <v>3492.88625522558</v>
      </c>
      <c r="V26" s="38">
        <f t="shared" si="7"/>
        <v>2433.877086277103</v>
      </c>
      <c r="W26" s="11"/>
      <c r="X26" s="11"/>
      <c r="Y26" s="10"/>
      <c r="Z26" s="10"/>
      <c r="AA26" s="10"/>
    </row>
    <row r="27" spans="1:27" ht="18" customHeight="1" x14ac:dyDescent="0.4">
      <c r="A27" s="207"/>
      <c r="B27" s="29" t="s">
        <v>364</v>
      </c>
      <c r="C27" s="159">
        <f>IFERROR((T28/T3)^(1/C25)-1,0)</f>
        <v>8.5400089433728565E-2</v>
      </c>
      <c r="E27" s="31">
        <v>2023</v>
      </c>
      <c r="F27" s="38">
        <f t="shared" si="0"/>
        <v>56.768373510890292</v>
      </c>
      <c r="G27" s="38">
        <f t="shared" si="8"/>
        <v>10939.694738261267</v>
      </c>
      <c r="H27" s="39">
        <f t="shared" si="9"/>
        <v>9443.060778742285</v>
      </c>
      <c r="I27" s="39">
        <f>H27+SUM(F$4:F27)</f>
        <v>10538.247827797692</v>
      </c>
      <c r="J27" s="39">
        <f t="shared" si="1"/>
        <v>37.926396634983931</v>
      </c>
      <c r="K27" s="39">
        <f t="shared" si="2"/>
        <v>1496.6339595189813</v>
      </c>
      <c r="L27" s="40">
        <f t="shared" si="3"/>
        <v>7.3095326139581172</v>
      </c>
      <c r="M27" s="41">
        <f t="shared" si="4"/>
        <v>0.53792996296353468</v>
      </c>
      <c r="N27" s="36">
        <v>409.51998900000001</v>
      </c>
      <c r="O27" s="42">
        <f t="shared" si="10"/>
        <v>3226.8606520383046</v>
      </c>
      <c r="P27" s="42">
        <f t="shared" si="11"/>
        <v>3226.8606520383046</v>
      </c>
      <c r="Q27" s="41">
        <f t="shared" si="5"/>
        <v>1.1689497097902481</v>
      </c>
      <c r="R27" s="36">
        <v>76</v>
      </c>
      <c r="S27" s="42">
        <f t="shared" si="12"/>
        <v>5278.9569999458581</v>
      </c>
      <c r="T27" s="38">
        <f t="shared" si="13"/>
        <v>3856.4170431114808</v>
      </c>
      <c r="U27" s="38">
        <f t="shared" si="6"/>
        <v>2433.877086277103</v>
      </c>
      <c r="V27" s="38">
        <f t="shared" si="7"/>
        <v>3856.4170431114808</v>
      </c>
      <c r="W27" s="11"/>
      <c r="X27" s="11"/>
      <c r="Y27" s="10"/>
      <c r="Z27" s="10"/>
      <c r="AA27" s="10"/>
    </row>
    <row r="28" spans="1:27" ht="15.65" customHeight="1" x14ac:dyDescent="0.4">
      <c r="A28" s="207"/>
      <c r="B28" s="29" t="s">
        <v>365</v>
      </c>
      <c r="C28" s="159">
        <v>0</v>
      </c>
      <c r="E28" s="31">
        <v>2024</v>
      </c>
      <c r="F28" s="38">
        <f t="shared" si="0"/>
        <v>57.903740981108101</v>
      </c>
      <c r="G28" s="38">
        <f t="shared" si="8"/>
        <v>11936.614489126521</v>
      </c>
      <c r="H28" s="39">
        <f t="shared" si="9"/>
        <v>10341.658808413429</v>
      </c>
      <c r="I28" s="39">
        <f>H28+SUM(F$4:F28)</f>
        <v>11494.749598449944</v>
      </c>
      <c r="J28" s="39">
        <f t="shared" si="1"/>
        <v>40.417980213002323</v>
      </c>
      <c r="K28" s="39">
        <f t="shared" si="2"/>
        <v>1594.9556807130916</v>
      </c>
      <c r="L28" s="40">
        <f t="shared" si="3"/>
        <v>7.4839787923071057</v>
      </c>
      <c r="M28" s="41">
        <f t="shared" si="4"/>
        <v>0.10263237968586682</v>
      </c>
      <c r="N28" s="36">
        <v>451.55</v>
      </c>
      <c r="O28" s="42">
        <f t="shared" si="10"/>
        <v>3558.0410396716834</v>
      </c>
      <c r="P28" s="42">
        <f t="shared" si="11"/>
        <v>3558.0410396716834</v>
      </c>
      <c r="Q28" s="41">
        <f t="shared" si="5"/>
        <v>0.17263157894736847</v>
      </c>
      <c r="R28" s="36">
        <v>89.12</v>
      </c>
      <c r="S28" s="42">
        <f t="shared" si="12"/>
        <v>4522.156406343358</v>
      </c>
      <c r="T28" s="38">
        <f t="shared" si="13"/>
        <v>4189.2867247274189</v>
      </c>
      <c r="U28" s="38">
        <f t="shared" si="6"/>
        <v>3856.4170431114808</v>
      </c>
      <c r="V28" s="38">
        <f t="shared" si="7"/>
        <v>4189.2867247274189</v>
      </c>
      <c r="W28" s="11"/>
      <c r="X28" s="11"/>
    </row>
    <row r="29" spans="1:27" ht="15.65" customHeight="1" x14ac:dyDescent="0.4">
      <c r="A29" s="207"/>
      <c r="B29" s="29" t="s">
        <v>384</v>
      </c>
      <c r="C29" s="159">
        <f>C26*C18+C27*C19</f>
        <v>5.2017997973183606E-2</v>
      </c>
      <c r="F29" s="38"/>
      <c r="G29" s="38"/>
      <c r="H29" s="39"/>
      <c r="I29" s="39"/>
      <c r="J29" s="39"/>
      <c r="K29" s="39"/>
      <c r="L29" s="40"/>
    </row>
    <row r="30" spans="1:27" ht="15.65" customHeight="1" x14ac:dyDescent="0.4">
      <c r="A30" s="207"/>
      <c r="B30" s="29" t="s">
        <v>383</v>
      </c>
      <c r="C30" s="164">
        <f>H28/C13</f>
        <v>5.7453660046741275</v>
      </c>
      <c r="F30" s="38"/>
      <c r="G30" s="38"/>
      <c r="H30" s="39"/>
      <c r="I30" s="39"/>
      <c r="J30" s="39"/>
      <c r="K30" s="39"/>
      <c r="L30" s="40"/>
    </row>
    <row r="31" spans="1:27" ht="15.65" customHeight="1" x14ac:dyDescent="0.4">
      <c r="A31" s="207"/>
      <c r="B31" s="29" t="s">
        <v>385</v>
      </c>
      <c r="C31" s="159">
        <f>(H28/C13)^(1/C25)-1</f>
        <v>7.2439269140013307E-2</v>
      </c>
      <c r="F31" s="38"/>
      <c r="G31" s="38"/>
      <c r="H31" s="39"/>
      <c r="I31" s="39"/>
      <c r="J31" s="39"/>
      <c r="K31" s="39"/>
      <c r="L31" s="40"/>
    </row>
    <row r="32" spans="1:27" ht="15.65" customHeight="1" x14ac:dyDescent="0.4">
      <c r="A32" s="208"/>
      <c r="B32" s="29" t="s">
        <v>386</v>
      </c>
      <c r="C32" s="159">
        <f>(I28/C13)^(1/C25)-1</f>
        <v>7.6983576099270534E-2</v>
      </c>
      <c r="F32" s="38"/>
      <c r="G32" s="38"/>
      <c r="H32" s="39"/>
      <c r="I32" s="39"/>
      <c r="J32" s="39"/>
      <c r="K32" s="39"/>
      <c r="L32" s="40"/>
    </row>
    <row r="33" spans="2:12" ht="15.65" customHeight="1" x14ac:dyDescent="0.4">
      <c r="B33" s="29"/>
      <c r="C33" s="16"/>
      <c r="F33" s="38"/>
      <c r="G33" s="38"/>
      <c r="H33" s="39"/>
      <c r="I33" s="39"/>
      <c r="J33" s="39"/>
      <c r="K33" s="39"/>
      <c r="L33" s="40"/>
    </row>
    <row r="34" spans="2:12" ht="15.65" customHeight="1" x14ac:dyDescent="0.4">
      <c r="B34" s="29"/>
      <c r="C34" s="16"/>
      <c r="F34" s="38"/>
      <c r="G34" s="38"/>
      <c r="H34" s="39"/>
      <c r="I34" s="39"/>
      <c r="J34" s="39"/>
      <c r="K34" s="39"/>
      <c r="L34" s="40"/>
    </row>
    <row r="35" spans="2:12" ht="15.65" customHeight="1" x14ac:dyDescent="0.4">
      <c r="B35" s="29"/>
      <c r="C35" s="16"/>
      <c r="F35" s="38"/>
      <c r="G35" s="38"/>
      <c r="H35" s="39"/>
      <c r="I35" s="39"/>
      <c r="J35" s="39"/>
      <c r="K35" s="39"/>
      <c r="L35" s="40"/>
    </row>
    <row r="36" spans="2:12" ht="15.65" customHeight="1" x14ac:dyDescent="0.4">
      <c r="B36" s="29"/>
      <c r="C36" s="16"/>
      <c r="F36" s="38"/>
      <c r="G36" s="38"/>
      <c r="H36" s="39"/>
      <c r="I36" s="39"/>
      <c r="J36" s="39"/>
      <c r="K36" s="39"/>
      <c r="L36" s="40"/>
    </row>
    <row r="37" spans="2:12" ht="15.65" customHeight="1" x14ac:dyDescent="0.4">
      <c r="B37" s="29"/>
      <c r="C37" s="16"/>
      <c r="F37" s="38"/>
      <c r="G37" s="38"/>
      <c r="H37" s="39"/>
      <c r="I37" s="39"/>
      <c r="J37" s="39"/>
      <c r="K37" s="39"/>
      <c r="L37" s="40"/>
    </row>
    <row r="38" spans="2:12" ht="15.65" customHeight="1" x14ac:dyDescent="0.4">
      <c r="B38" s="29"/>
      <c r="C38" s="16"/>
      <c r="F38" s="38"/>
      <c r="G38" s="38"/>
      <c r="H38" s="39"/>
      <c r="I38" s="39"/>
      <c r="J38" s="39"/>
      <c r="K38" s="39"/>
      <c r="L38" s="40"/>
    </row>
    <row r="39" spans="2:12" ht="15.65" customHeight="1" x14ac:dyDescent="0.4">
      <c r="B39" s="29"/>
      <c r="C39" s="16"/>
      <c r="F39" s="38"/>
      <c r="G39" s="38"/>
      <c r="H39" s="39"/>
      <c r="I39" s="39"/>
      <c r="J39" s="39"/>
      <c r="K39" s="39"/>
      <c r="L39" s="40"/>
    </row>
    <row r="40" spans="2:12" ht="15.65" customHeight="1" x14ac:dyDescent="0.4">
      <c r="B40" s="29"/>
      <c r="C40" s="16"/>
    </row>
    <row r="41" spans="2:12" ht="15.65" customHeight="1" x14ac:dyDescent="0.4">
      <c r="B41" s="29"/>
      <c r="C41" s="16"/>
    </row>
  </sheetData>
  <sheetProtection algorithmName="SHA-512" hashValue="ADTffYB0mDoM+xwyjIouKsChTI0oCvnqjEM+c23dH7S0Db8LgkiZfdCek1h8d4NX6x2xovTBi5FjLdm581+UyQ==" saltValue="151fNQenGhaWOwjZoRSklQ==" spinCount="100000" sheet="1" formatColumns="0"/>
  <mergeCells count="10">
    <mergeCell ref="A25:A32"/>
    <mergeCell ref="A3:A11"/>
    <mergeCell ref="U1:V1"/>
    <mergeCell ref="Q1:T1"/>
    <mergeCell ref="A1:A2"/>
    <mergeCell ref="E1:E2"/>
    <mergeCell ref="B1:B2"/>
    <mergeCell ref="C1:C2"/>
    <mergeCell ref="A12:A24"/>
    <mergeCell ref="M1:P1"/>
  </mergeCells>
  <phoneticPr fontId="6" type="noConversion"/>
  <conditionalFormatting sqref="L4:L28">
    <cfRule type="cellIs" dxfId="7" priority="14" operator="lessThan">
      <formula>$C$17</formula>
    </cfRule>
  </conditionalFormatting>
  <conditionalFormatting sqref="T4:V4 T4:T28 V4:V28 S5:V28">
    <cfRule type="cellIs" dxfId="6" priority="2" operator="lessThan">
      <formula>0</formula>
    </cfRule>
  </conditionalFormatting>
  <dataValidations count="2">
    <dataValidation type="list" allowBlank="1" showInputMessage="1" showErrorMessage="1" sqref="C15" xr:uid="{00000000-0002-0000-0200-000000000000}">
      <formula1>"是,否"</formula1>
    </dataValidation>
    <dataValidation type="list" allowBlank="1" showInputMessage="1" showErrorMessage="1" sqref="C21" xr:uid="{00000000-0002-0000-0200-000001000000}">
      <formula1>"0,1,2,3"</formula1>
    </dataValidation>
  </dataValidations>
  <pageMargins left="0.7" right="0.7" top="0.75" bottom="0.75" header="0.3" footer="0.3"/>
  <pageSetup orientation="portrait" r:id="rId1"/>
  <headerFooter>
    <oddFooter>&amp;C&amp;"Helvetica Neue,Regular"&amp;12&amp;K000000&amp;P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2"/>
  <sheetViews>
    <sheetView zoomScaleNormal="10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O3" sqref="O3:O9"/>
    </sheetView>
  </sheetViews>
  <sheetFormatPr defaultRowHeight="17" x14ac:dyDescent="0.4"/>
  <cols>
    <col min="1" max="1" width="13.453125" style="124" bestFit="1" customWidth="1"/>
    <col min="2" max="3" width="6.54296875" style="123" bestFit="1" customWidth="1"/>
    <col min="4" max="4" width="8.54296875" style="123" bestFit="1" customWidth="1"/>
    <col min="5" max="20" width="6.54296875" style="123" bestFit="1" customWidth="1"/>
    <col min="21" max="16384" width="8.7265625" style="1"/>
  </cols>
  <sheetData>
    <row r="1" spans="1:20" s="115" customFormat="1" x14ac:dyDescent="0.4">
      <c r="A1" s="228" t="s">
        <v>422</v>
      </c>
      <c r="B1" s="230" t="s">
        <v>436</v>
      </c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2"/>
      <c r="P1" s="233" t="s">
        <v>435</v>
      </c>
      <c r="Q1" s="234"/>
      <c r="R1" s="234"/>
      <c r="S1" s="234"/>
      <c r="T1" s="235"/>
    </row>
    <row r="2" spans="1:20" s="4" customFormat="1" x14ac:dyDescent="0.4">
      <c r="A2" s="229"/>
      <c r="B2" s="126">
        <v>1.1000000000000001</v>
      </c>
      <c r="C2" s="126">
        <v>1.2</v>
      </c>
      <c r="D2" s="126">
        <v>1.3</v>
      </c>
      <c r="E2" s="126">
        <v>1.4</v>
      </c>
      <c r="F2" s="126">
        <v>2.1</v>
      </c>
      <c r="G2" s="126">
        <v>2.2000000000000002</v>
      </c>
      <c r="H2" s="126">
        <v>2.2999999999999998</v>
      </c>
      <c r="I2" s="126">
        <v>2.4</v>
      </c>
      <c r="J2" s="126">
        <v>2.5</v>
      </c>
      <c r="K2" s="126">
        <v>2.6</v>
      </c>
      <c r="L2" s="126">
        <v>2.7</v>
      </c>
      <c r="M2" s="126">
        <v>3.1</v>
      </c>
      <c r="N2" s="126">
        <v>3.2</v>
      </c>
      <c r="O2" s="126">
        <v>3.3</v>
      </c>
      <c r="P2" s="144">
        <v>4.0999999999999996</v>
      </c>
      <c r="Q2" s="144">
        <v>4.2</v>
      </c>
      <c r="R2" s="144">
        <v>4.3</v>
      </c>
      <c r="S2" s="144">
        <v>4.4000000000000004</v>
      </c>
      <c r="T2" s="144">
        <v>4.5</v>
      </c>
    </row>
    <row r="3" spans="1:20" s="115" customFormat="1" x14ac:dyDescent="0.4">
      <c r="A3" s="128" t="s">
        <v>411</v>
      </c>
      <c r="B3" s="127" t="s">
        <v>420</v>
      </c>
      <c r="C3" s="127" t="s">
        <v>420</v>
      </c>
      <c r="D3" s="127" t="s">
        <v>420</v>
      </c>
      <c r="E3" s="127" t="s">
        <v>420</v>
      </c>
      <c r="F3" s="127" t="s">
        <v>407</v>
      </c>
      <c r="G3" s="127" t="s">
        <v>407</v>
      </c>
      <c r="H3" s="127" t="s">
        <v>407</v>
      </c>
      <c r="I3" s="127" t="s">
        <v>407</v>
      </c>
      <c r="J3" s="127" t="s">
        <v>407</v>
      </c>
      <c r="K3" s="127" t="s">
        <v>407</v>
      </c>
      <c r="L3" s="127" t="s">
        <v>407</v>
      </c>
      <c r="M3" s="127" t="s">
        <v>407</v>
      </c>
      <c r="N3" s="127" t="s">
        <v>407</v>
      </c>
      <c r="O3" s="127" t="s">
        <v>407</v>
      </c>
      <c r="P3" s="127" t="s">
        <v>420</v>
      </c>
      <c r="Q3" s="127" t="s">
        <v>420</v>
      </c>
      <c r="R3" s="127" t="s">
        <v>420</v>
      </c>
      <c r="S3" s="127" t="s">
        <v>420</v>
      </c>
      <c r="T3" s="127" t="s">
        <v>420</v>
      </c>
    </row>
    <row r="4" spans="1:20" x14ac:dyDescent="0.4">
      <c r="A4" s="124" t="s">
        <v>412</v>
      </c>
      <c r="B4" s="125"/>
      <c r="C4" s="125"/>
      <c r="D4" s="125"/>
      <c r="E4" s="125"/>
      <c r="F4" s="125">
        <v>2.5999999999999999E-2</v>
      </c>
      <c r="G4" s="125">
        <v>2.5999999999999999E-2</v>
      </c>
      <c r="H4" s="125">
        <v>2.5999999999999999E-2</v>
      </c>
      <c r="I4" s="125">
        <v>2.5999999999999999E-2</v>
      </c>
      <c r="J4" s="125">
        <v>2.5999999999999999E-2</v>
      </c>
      <c r="K4" s="125">
        <v>2.5999999999999999E-2</v>
      </c>
      <c r="L4" s="125">
        <v>2.5999999999999999E-2</v>
      </c>
      <c r="M4" s="125">
        <v>2.5999999999999999E-2</v>
      </c>
      <c r="N4" s="125">
        <v>2.5999999999999999E-2</v>
      </c>
      <c r="O4" s="125">
        <v>2.5999999999999999E-2</v>
      </c>
      <c r="P4" s="125"/>
      <c r="Q4" s="125"/>
      <c r="R4" s="125"/>
      <c r="S4" s="125"/>
      <c r="T4" s="125"/>
    </row>
    <row r="5" spans="1:20" s="137" customFormat="1" x14ac:dyDescent="0.4">
      <c r="A5" s="166" t="s">
        <v>413</v>
      </c>
      <c r="B5" s="136"/>
      <c r="C5" s="136"/>
      <c r="D5" s="136"/>
      <c r="E5" s="136"/>
      <c r="F5" s="136">
        <v>1.67</v>
      </c>
      <c r="G5" s="136">
        <v>1.67</v>
      </c>
      <c r="H5" s="136">
        <v>1.67</v>
      </c>
      <c r="I5" s="136">
        <v>1.67</v>
      </c>
      <c r="J5" s="136">
        <v>1.67</v>
      </c>
      <c r="K5" s="136">
        <v>1.67</v>
      </c>
      <c r="L5" s="136">
        <v>1.67</v>
      </c>
      <c r="M5" s="136">
        <v>1.67</v>
      </c>
      <c r="N5" s="136">
        <v>1.67</v>
      </c>
      <c r="O5" s="136">
        <v>1.67</v>
      </c>
      <c r="P5" s="136"/>
      <c r="Q5" s="136"/>
      <c r="R5" s="136"/>
      <c r="S5" s="136"/>
      <c r="T5" s="136"/>
    </row>
    <row r="6" spans="1:20" s="137" customFormat="1" x14ac:dyDescent="0.4">
      <c r="A6" s="166" t="s">
        <v>414</v>
      </c>
      <c r="B6" s="136">
        <v>0.6</v>
      </c>
      <c r="C6" s="136">
        <v>0.6</v>
      </c>
      <c r="D6" s="136">
        <v>0.6</v>
      </c>
      <c r="E6" s="136">
        <v>0.4</v>
      </c>
      <c r="F6" s="136">
        <v>1</v>
      </c>
      <c r="G6" s="136">
        <v>0.8</v>
      </c>
      <c r="H6" s="136">
        <v>0.8</v>
      </c>
      <c r="I6" s="136">
        <v>0.8</v>
      </c>
      <c r="J6" s="136">
        <v>0.6</v>
      </c>
      <c r="K6" s="136">
        <v>0.6</v>
      </c>
      <c r="L6" s="136">
        <v>0.6</v>
      </c>
      <c r="M6" s="136">
        <v>0.4</v>
      </c>
      <c r="N6" s="136">
        <v>0.4</v>
      </c>
      <c r="O6" s="136">
        <v>0.4</v>
      </c>
      <c r="P6" s="136">
        <v>1</v>
      </c>
      <c r="Q6" s="136">
        <v>0.8</v>
      </c>
      <c r="R6" s="136">
        <v>0.9</v>
      </c>
      <c r="S6" s="136">
        <v>0.7</v>
      </c>
      <c r="T6" s="136">
        <v>0.6</v>
      </c>
    </row>
    <row r="7" spans="1:20" s="137" customFormat="1" x14ac:dyDescent="0.4">
      <c r="A7" s="166" t="s">
        <v>415</v>
      </c>
      <c r="B7" s="136">
        <v>0.2</v>
      </c>
      <c r="C7" s="136">
        <v>0.2</v>
      </c>
      <c r="D7" s="136">
        <v>0.2</v>
      </c>
      <c r="E7" s="136">
        <v>0.3</v>
      </c>
      <c r="F7" s="136">
        <v>0</v>
      </c>
      <c r="G7" s="136">
        <v>0.1</v>
      </c>
      <c r="H7" s="136">
        <v>0.1</v>
      </c>
      <c r="I7" s="136">
        <v>0.1</v>
      </c>
      <c r="J7" s="136">
        <v>0.2</v>
      </c>
      <c r="K7" s="136">
        <v>0.2</v>
      </c>
      <c r="L7" s="136">
        <v>0.2</v>
      </c>
      <c r="M7" s="136">
        <v>0.3</v>
      </c>
      <c r="N7" s="136">
        <v>0.3</v>
      </c>
      <c r="O7" s="136">
        <v>0.3</v>
      </c>
      <c r="P7" s="136">
        <v>0</v>
      </c>
      <c r="Q7" s="136">
        <v>0.1</v>
      </c>
      <c r="R7" s="136">
        <v>0.1</v>
      </c>
      <c r="S7" s="136">
        <v>0.2</v>
      </c>
      <c r="T7" s="136">
        <v>0.2</v>
      </c>
    </row>
    <row r="8" spans="1:20" s="137" customFormat="1" x14ac:dyDescent="0.4">
      <c r="A8" s="166" t="s">
        <v>416</v>
      </c>
      <c r="B8" s="136">
        <v>0.19999999999999996</v>
      </c>
      <c r="C8" s="136">
        <v>0.19999999999999996</v>
      </c>
      <c r="D8" s="136">
        <v>0.19999999999999996</v>
      </c>
      <c r="E8" s="136">
        <v>0.3</v>
      </c>
      <c r="F8" s="136">
        <v>0</v>
      </c>
      <c r="G8" s="136">
        <v>0.1</v>
      </c>
      <c r="H8" s="136">
        <v>0.1</v>
      </c>
      <c r="I8" s="136">
        <v>0.1</v>
      </c>
      <c r="J8" s="136">
        <v>0.19999999999999996</v>
      </c>
      <c r="K8" s="136">
        <v>0.19999999999999996</v>
      </c>
      <c r="L8" s="136">
        <v>0.19999999999999996</v>
      </c>
      <c r="M8" s="136">
        <v>0.3</v>
      </c>
      <c r="N8" s="136">
        <v>0.3</v>
      </c>
      <c r="O8" s="136">
        <v>0.3</v>
      </c>
      <c r="P8" s="136">
        <v>0</v>
      </c>
      <c r="Q8" s="136">
        <v>0.1</v>
      </c>
      <c r="R8" s="136">
        <v>0</v>
      </c>
      <c r="S8" s="136">
        <v>0.1</v>
      </c>
      <c r="T8" s="136">
        <v>0.2</v>
      </c>
    </row>
    <row r="9" spans="1:20" s="115" customFormat="1" x14ac:dyDescent="0.4">
      <c r="A9" s="128" t="s">
        <v>417</v>
      </c>
      <c r="B9" s="127">
        <v>0</v>
      </c>
      <c r="C9" s="127">
        <v>1</v>
      </c>
      <c r="D9" s="127">
        <v>2</v>
      </c>
      <c r="E9" s="127">
        <v>2</v>
      </c>
      <c r="F9" s="127">
        <v>0</v>
      </c>
      <c r="G9" s="127">
        <v>0</v>
      </c>
      <c r="H9" s="127">
        <v>1</v>
      </c>
      <c r="I9" s="127">
        <v>2</v>
      </c>
      <c r="J9" s="127">
        <v>0</v>
      </c>
      <c r="K9" s="127">
        <v>1</v>
      </c>
      <c r="L9" s="127">
        <v>2</v>
      </c>
      <c r="M9" s="127">
        <v>0</v>
      </c>
      <c r="N9" s="127">
        <v>1</v>
      </c>
      <c r="O9" s="127">
        <v>2</v>
      </c>
      <c r="P9" s="127">
        <v>0</v>
      </c>
      <c r="Q9" s="127">
        <v>0</v>
      </c>
      <c r="R9" s="127">
        <v>0</v>
      </c>
      <c r="S9" s="127">
        <v>0</v>
      </c>
      <c r="T9" s="127">
        <v>0</v>
      </c>
    </row>
    <row r="10" spans="1:20" x14ac:dyDescent="0.4">
      <c r="A10" s="29" t="s">
        <v>419</v>
      </c>
      <c r="B10" s="140">
        <v>4.595087687215627</v>
      </c>
      <c r="C10" s="140">
        <v>3.4875497459019202</v>
      </c>
      <c r="D10" s="225" t="s">
        <v>438</v>
      </c>
      <c r="E10" s="140">
        <v>2.1105959212761323</v>
      </c>
      <c r="F10" s="140">
        <v>4.0556371769256181</v>
      </c>
      <c r="G10" s="140">
        <v>3.8823191874280969</v>
      </c>
      <c r="H10" s="140">
        <v>4.0470313619782088</v>
      </c>
      <c r="I10" s="140">
        <v>4.6188801195084546</v>
      </c>
      <c r="J10" s="140">
        <v>3.7090011979305757</v>
      </c>
      <c r="K10" s="140">
        <v>3.2420692510815989</v>
      </c>
      <c r="L10" s="140">
        <v>5.182123062091291</v>
      </c>
      <c r="M10" s="140">
        <v>3.5356832084330518</v>
      </c>
      <c r="N10" s="140">
        <v>2.4371071401849878</v>
      </c>
      <c r="O10" s="131">
        <v>5.7453660046741266</v>
      </c>
      <c r="P10" s="140">
        <v>4.9417236662106694</v>
      </c>
      <c r="Q10" s="140">
        <v>4.7684056767131473</v>
      </c>
      <c r="R10" s="140">
        <v>5.1625780433342161</v>
      </c>
      <c r="S10" s="140">
        <v>4.9892600538366922</v>
      </c>
      <c r="T10" s="140">
        <v>4.595087687215627</v>
      </c>
    </row>
    <row r="11" spans="1:20" s="130" customFormat="1" x14ac:dyDescent="0.4">
      <c r="A11" s="129" t="s">
        <v>421</v>
      </c>
      <c r="B11" s="141">
        <v>6.2898397142539419E-2</v>
      </c>
      <c r="C11" s="141">
        <v>5.1237431476389483E-2</v>
      </c>
      <c r="D11" s="226"/>
      <c r="E11" s="141">
        <v>3.0329664228540665E-2</v>
      </c>
      <c r="F11" s="141">
        <v>5.7602244482765297E-2</v>
      </c>
      <c r="G11" s="141">
        <v>5.5756221890383539E-2</v>
      </c>
      <c r="H11" s="141">
        <v>5.7512386225079259E-2</v>
      </c>
      <c r="I11" s="141">
        <v>6.3117990760710008E-2</v>
      </c>
      <c r="J11" s="141">
        <v>5.3829323516774163E-2</v>
      </c>
      <c r="K11" s="141">
        <v>4.817281419718844E-2</v>
      </c>
      <c r="L11" s="141">
        <v>6.8022270868777879E-2</v>
      </c>
      <c r="M11" s="141">
        <v>5.18139678309395E-2</v>
      </c>
      <c r="N11" s="141">
        <v>3.6274913861715552E-2</v>
      </c>
      <c r="O11" s="132">
        <v>7.2439269140013307E-2</v>
      </c>
      <c r="P11" s="141">
        <v>6.5994927857662589E-2</v>
      </c>
      <c r="Q11" s="141">
        <v>6.4473680586805138E-2</v>
      </c>
      <c r="R11" s="141">
        <v>6.7860851317433912E-2</v>
      </c>
      <c r="S11" s="141">
        <v>6.6403214812875921E-2</v>
      </c>
      <c r="T11" s="141">
        <v>6.2898397142539419E-2</v>
      </c>
    </row>
    <row r="12" spans="1:20" s="130" customFormat="1" x14ac:dyDescent="0.4">
      <c r="A12" s="129" t="s">
        <v>418</v>
      </c>
      <c r="B12" s="141">
        <v>6.8461724859608886E-2</v>
      </c>
      <c r="C12" s="141">
        <v>5.8352263418031569E-2</v>
      </c>
      <c r="D12" s="227"/>
      <c r="E12" s="141">
        <v>4.131206093218065E-2</v>
      </c>
      <c r="F12" s="141">
        <v>6.3824586008330852E-2</v>
      </c>
      <c r="G12" s="141">
        <v>6.2225630069504101E-2</v>
      </c>
      <c r="H12" s="141">
        <v>6.3746539454077711E-2</v>
      </c>
      <c r="I12" s="141">
        <v>6.8655517839833591E-2</v>
      </c>
      <c r="J12" s="141">
        <v>6.0566735753043277E-2</v>
      </c>
      <c r="K12" s="141">
        <v>5.5760094771598601E-2</v>
      </c>
      <c r="L12" s="141">
        <v>7.3013196723017204E-2</v>
      </c>
      <c r="M12" s="141">
        <v>5.8843128660266197E-2</v>
      </c>
      <c r="N12" s="141">
        <v>4.599383662574108E-2</v>
      </c>
      <c r="O12" s="132">
        <v>7.6983576099270534E-2</v>
      </c>
      <c r="P12" s="141">
        <v>6.5994927857662589E-2</v>
      </c>
      <c r="Q12" s="141">
        <v>6.4473680586805138E-2</v>
      </c>
      <c r="R12" s="141">
        <v>6.7860851317433912E-2</v>
      </c>
      <c r="S12" s="141">
        <v>6.6403214812875921E-2</v>
      </c>
      <c r="T12" s="141">
        <v>6.2898397142539419E-2</v>
      </c>
    </row>
  </sheetData>
  <mergeCells count="4">
    <mergeCell ref="D10:D12"/>
    <mergeCell ref="A1:A2"/>
    <mergeCell ref="B1:O1"/>
    <mergeCell ref="P1:T1"/>
  </mergeCells>
  <phoneticPr fontId="2" type="noConversion"/>
  <conditionalFormatting sqref="E10:E12">
    <cfRule type="cellIs" dxfId="5" priority="4" operator="greaterThan">
      <formula>0</formula>
    </cfRule>
  </conditionalFormatting>
  <conditionalFormatting sqref="O10:O12">
    <cfRule type="cellIs" dxfId="4" priority="6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18971-D9C2-4A9D-A1BD-9B09FC5CB550}">
  <dimension ref="A1:O11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14" sqref="I14"/>
    </sheetView>
  </sheetViews>
  <sheetFormatPr defaultRowHeight="17" x14ac:dyDescent="0.4"/>
  <cols>
    <col min="1" max="1" width="13.453125" style="124" bestFit="1" customWidth="1"/>
    <col min="2" max="7" width="6.54296875" style="123" bestFit="1" customWidth="1"/>
    <col min="8" max="8" width="7.36328125" style="123" bestFit="1" customWidth="1"/>
    <col min="9" max="9" width="45.453125" style="123" bestFit="1" customWidth="1"/>
    <col min="10" max="15" width="8.54296875" style="123" bestFit="1" customWidth="1"/>
    <col min="16" max="16384" width="8.7265625" style="1"/>
  </cols>
  <sheetData>
    <row r="1" spans="1:15" s="2" customFormat="1" x14ac:dyDescent="0.4">
      <c r="A1" s="2" t="s">
        <v>427</v>
      </c>
      <c r="B1" s="2">
        <v>1</v>
      </c>
      <c r="C1" s="2">
        <v>2</v>
      </c>
      <c r="D1" s="2">
        <v>3</v>
      </c>
      <c r="E1" s="143" t="s">
        <v>428</v>
      </c>
      <c r="F1" s="2" t="s">
        <v>429</v>
      </c>
      <c r="G1" s="2">
        <v>6</v>
      </c>
      <c r="H1" s="142">
        <v>7</v>
      </c>
      <c r="I1" s="2" t="s">
        <v>441</v>
      </c>
    </row>
    <row r="2" spans="1:15" s="115" customFormat="1" x14ac:dyDescent="0.4">
      <c r="A2" s="97" t="s">
        <v>388</v>
      </c>
      <c r="B2" s="127" t="s">
        <v>430</v>
      </c>
      <c r="C2" s="127" t="s">
        <v>430</v>
      </c>
      <c r="D2" s="127" t="s">
        <v>430</v>
      </c>
      <c r="E2" s="127" t="s">
        <v>430</v>
      </c>
      <c r="F2" s="127" t="s">
        <v>430</v>
      </c>
      <c r="G2" s="127" t="s">
        <v>420</v>
      </c>
      <c r="H2" s="127" t="s">
        <v>420</v>
      </c>
      <c r="I2" s="236" t="s">
        <v>442</v>
      </c>
      <c r="J2" s="127"/>
      <c r="K2" s="127"/>
      <c r="L2" s="127"/>
      <c r="M2" s="127"/>
      <c r="N2" s="127"/>
      <c r="O2" s="127"/>
    </row>
    <row r="3" spans="1:15" x14ac:dyDescent="0.4">
      <c r="A3" s="124" t="s">
        <v>412</v>
      </c>
      <c r="B3" s="136">
        <v>0.05</v>
      </c>
      <c r="C3" s="136">
        <v>0.05</v>
      </c>
      <c r="D3" s="136">
        <v>0.05</v>
      </c>
      <c r="E3" s="136">
        <v>0.05</v>
      </c>
      <c r="F3" s="136">
        <v>0.05</v>
      </c>
      <c r="G3" s="136"/>
      <c r="H3" s="136"/>
      <c r="I3" s="237"/>
      <c r="J3" s="125"/>
      <c r="K3" s="125"/>
      <c r="L3" s="125"/>
      <c r="M3" s="125"/>
      <c r="N3" s="125"/>
      <c r="O3" s="125"/>
    </row>
    <row r="4" spans="1:15" x14ac:dyDescent="0.4">
      <c r="A4" s="124" t="s">
        <v>413</v>
      </c>
      <c r="B4" s="136">
        <v>1.67</v>
      </c>
      <c r="C4" s="136">
        <v>1.67</v>
      </c>
      <c r="D4" s="136">
        <v>1.67</v>
      </c>
      <c r="E4" s="136">
        <v>1.67</v>
      </c>
      <c r="F4" s="136">
        <v>1.67</v>
      </c>
      <c r="G4" s="136"/>
      <c r="H4" s="136"/>
      <c r="I4" s="237"/>
      <c r="J4" s="125"/>
      <c r="K4" s="125"/>
      <c r="L4" s="125"/>
      <c r="M4" s="125"/>
      <c r="N4" s="125"/>
      <c r="O4" s="125"/>
    </row>
    <row r="5" spans="1:15" s="137" customFormat="1" x14ac:dyDescent="0.4">
      <c r="A5" s="97" t="s">
        <v>389</v>
      </c>
      <c r="B5" s="136">
        <v>0.6</v>
      </c>
      <c r="C5" s="136">
        <v>0.5</v>
      </c>
      <c r="D5" s="136">
        <v>0.4</v>
      </c>
      <c r="E5" s="136">
        <v>0.4</v>
      </c>
      <c r="F5" s="136">
        <v>0.6</v>
      </c>
      <c r="G5" s="136">
        <v>0.8</v>
      </c>
      <c r="H5" s="136">
        <v>1</v>
      </c>
      <c r="I5" s="237"/>
      <c r="J5" s="136"/>
      <c r="K5" s="136"/>
      <c r="L5" s="136"/>
      <c r="M5" s="136"/>
      <c r="N5" s="136"/>
      <c r="O5" s="136"/>
    </row>
    <row r="6" spans="1:15" s="137" customFormat="1" x14ac:dyDescent="0.4">
      <c r="A6" s="97" t="s">
        <v>390</v>
      </c>
      <c r="B6" s="136">
        <v>0.2</v>
      </c>
      <c r="C6" s="136">
        <v>0.25</v>
      </c>
      <c r="D6" s="136">
        <v>0.3</v>
      </c>
      <c r="E6" s="136">
        <v>0.3</v>
      </c>
      <c r="F6" s="136">
        <v>0.2</v>
      </c>
      <c r="G6" s="136">
        <v>0</v>
      </c>
      <c r="H6" s="136">
        <v>0</v>
      </c>
      <c r="I6" s="237"/>
      <c r="J6" s="136"/>
      <c r="K6" s="136"/>
      <c r="L6" s="136"/>
      <c r="M6" s="136"/>
      <c r="N6" s="136"/>
      <c r="O6" s="136"/>
    </row>
    <row r="7" spans="1:15" s="137" customFormat="1" x14ac:dyDescent="0.4">
      <c r="A7" s="97" t="s">
        <v>391</v>
      </c>
      <c r="B7" s="136">
        <v>0.2</v>
      </c>
      <c r="C7" s="136">
        <v>0.25</v>
      </c>
      <c r="D7" s="136">
        <v>0.3</v>
      </c>
      <c r="E7" s="136">
        <v>0.3</v>
      </c>
      <c r="F7" s="136">
        <v>0.2</v>
      </c>
      <c r="G7" s="136">
        <v>0.2</v>
      </c>
      <c r="H7" s="136">
        <v>0</v>
      </c>
      <c r="I7" s="237"/>
      <c r="J7" s="136"/>
      <c r="K7" s="136"/>
      <c r="L7" s="136"/>
      <c r="M7" s="136"/>
      <c r="N7" s="136"/>
      <c r="O7" s="136"/>
    </row>
    <row r="8" spans="1:15" s="115" customFormat="1" x14ac:dyDescent="0.4">
      <c r="A8" s="97" t="s">
        <v>392</v>
      </c>
      <c r="B8" s="127">
        <v>1</v>
      </c>
      <c r="C8" s="127">
        <v>1</v>
      </c>
      <c r="D8" s="127">
        <v>1</v>
      </c>
      <c r="E8" s="127">
        <v>2</v>
      </c>
      <c r="F8" s="127">
        <v>2</v>
      </c>
      <c r="G8" s="127">
        <v>3</v>
      </c>
      <c r="H8" s="127">
        <v>0</v>
      </c>
      <c r="I8" s="238"/>
      <c r="J8" s="127"/>
      <c r="K8" s="127"/>
      <c r="L8" s="127"/>
      <c r="M8" s="127"/>
      <c r="N8" s="127"/>
      <c r="O8" s="127"/>
    </row>
    <row r="9" spans="1:15" x14ac:dyDescent="0.4">
      <c r="A9" s="29" t="s">
        <v>419</v>
      </c>
      <c r="B9" s="146">
        <v>2.9061314778623921</v>
      </c>
      <c r="C9" s="146">
        <v>2.5036504224140854</v>
      </c>
      <c r="D9" s="146">
        <v>2.10116936696578</v>
      </c>
      <c r="E9" s="147">
        <v>5.4094282314549185</v>
      </c>
      <c r="F9" s="146">
        <v>4.8461852888720829</v>
      </c>
      <c r="G9" s="146">
        <v>4.7566605171661394</v>
      </c>
      <c r="H9" s="148">
        <v>0.91648034255306954</v>
      </c>
      <c r="I9" s="239" t="s">
        <v>443</v>
      </c>
      <c r="J9" s="45"/>
      <c r="K9" s="45"/>
      <c r="L9" s="131"/>
      <c r="M9" s="133"/>
      <c r="N9" s="133"/>
      <c r="O9" s="131"/>
    </row>
    <row r="10" spans="1:15" s="130" customFormat="1" x14ac:dyDescent="0.4">
      <c r="A10" s="129" t="s">
        <v>421</v>
      </c>
      <c r="B10" s="149">
        <v>4.3596491451928232E-2</v>
      </c>
      <c r="C10" s="149">
        <v>3.7392126680528159E-2</v>
      </c>
      <c r="D10" s="149">
        <v>3.0145198008368013E-2</v>
      </c>
      <c r="E10" s="150">
        <v>6.9857793100617016E-2</v>
      </c>
      <c r="F10" s="149">
        <v>6.5162824450695211E-2</v>
      </c>
      <c r="G10" s="149">
        <v>6.4368679297320819E-2</v>
      </c>
      <c r="H10" s="151">
        <v>-3.4825083651925937E-3</v>
      </c>
      <c r="I10" s="240"/>
      <c r="J10" s="44"/>
      <c r="K10" s="44"/>
      <c r="L10" s="132"/>
      <c r="M10" s="134"/>
      <c r="N10" s="134"/>
      <c r="O10" s="132"/>
    </row>
    <row r="11" spans="1:15" s="130" customFormat="1" x14ac:dyDescent="0.4">
      <c r="A11" s="129" t="s">
        <v>418</v>
      </c>
      <c r="B11" s="149">
        <v>5.1945310094440256E-2</v>
      </c>
      <c r="C11" s="149">
        <v>4.6889196893360685E-2</v>
      </c>
      <c r="D11" s="149">
        <v>4.1169110105270912E-2</v>
      </c>
      <c r="E11" s="150">
        <v>7.4658092141736798E-2</v>
      </c>
      <c r="F11" s="149">
        <v>7.0465654319401549E-2</v>
      </c>
      <c r="G11" s="149">
        <v>6.9761477023667195E-2</v>
      </c>
      <c r="H11" s="151">
        <v>1.7870453042993395E-2</v>
      </c>
      <c r="I11" s="241"/>
      <c r="J11" s="44"/>
      <c r="K11" s="44"/>
      <c r="L11" s="132"/>
      <c r="M11" s="134"/>
      <c r="N11" s="134"/>
      <c r="O11" s="132"/>
    </row>
  </sheetData>
  <mergeCells count="2">
    <mergeCell ref="I2:I8"/>
    <mergeCell ref="I9:I11"/>
  </mergeCells>
  <phoneticPr fontId="2" type="noConversion"/>
  <conditionalFormatting sqref="E1">
    <cfRule type="cellIs" dxfId="3" priority="4" operator="greaterThan">
      <formula>0</formula>
    </cfRule>
  </conditionalFormatting>
  <conditionalFormatting sqref="E9:E11">
    <cfRule type="cellIs" dxfId="2" priority="7" operator="greaterThan">
      <formula>0</formula>
    </cfRule>
  </conditionalFormatting>
  <conditionalFormatting sqref="H1">
    <cfRule type="cellIs" dxfId="1" priority="1" operator="greaterThan">
      <formula>0</formula>
    </cfRule>
  </conditionalFormatting>
  <conditionalFormatting sqref="H9:H11">
    <cfRule type="cellIs" dxfId="0" priority="2" operator="greaterThan">
      <formula>-2000</formula>
    </cfRule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0"/>
  <sheetViews>
    <sheetView topLeftCell="A4" workbookViewId="0">
      <selection activeCell="C10" sqref="C10"/>
    </sheetView>
  </sheetViews>
  <sheetFormatPr defaultRowHeight="17" x14ac:dyDescent="0.4"/>
  <cols>
    <col min="1" max="1" width="7.54296875" style="98" bestFit="1" customWidth="1"/>
    <col min="2" max="2" width="6.26953125" style="104" bestFit="1" customWidth="1"/>
    <col min="3" max="3" width="7.26953125" style="105" bestFit="1" customWidth="1"/>
    <col min="4" max="4" width="7.26953125" style="98" bestFit="1" customWidth="1"/>
    <col min="5" max="5" width="5" style="104" bestFit="1" customWidth="1"/>
    <col min="6" max="7" width="7.26953125" style="98" bestFit="1" customWidth="1"/>
    <col min="8" max="8" width="6" style="104" bestFit="1" customWidth="1"/>
    <col min="9" max="10" width="7.26953125" style="98" bestFit="1" customWidth="1"/>
    <col min="11" max="11" width="8.26953125" style="98" bestFit="1" customWidth="1"/>
    <col min="12" max="16384" width="8.7265625" style="98"/>
  </cols>
  <sheetData>
    <row r="1" spans="1:11" x14ac:dyDescent="0.4">
      <c r="A1" s="245" t="s">
        <v>401</v>
      </c>
      <c r="B1" s="246" t="s">
        <v>402</v>
      </c>
      <c r="C1" s="247" t="s">
        <v>403</v>
      </c>
      <c r="D1" s="248" t="s">
        <v>393</v>
      </c>
      <c r="E1" s="248"/>
      <c r="F1" s="248"/>
      <c r="G1" s="248" t="s">
        <v>394</v>
      </c>
      <c r="H1" s="248"/>
      <c r="I1" s="248"/>
      <c r="J1" s="109" t="s">
        <v>395</v>
      </c>
      <c r="K1" s="109" t="s">
        <v>396</v>
      </c>
    </row>
    <row r="2" spans="1:11" x14ac:dyDescent="0.4">
      <c r="A2" s="245"/>
      <c r="B2" s="246"/>
      <c r="C2" s="247"/>
      <c r="D2" s="249">
        <v>1.5</v>
      </c>
      <c r="E2" s="249"/>
      <c r="F2" s="109" t="s">
        <v>397</v>
      </c>
      <c r="G2" s="249">
        <v>-0.4</v>
      </c>
      <c r="H2" s="249"/>
      <c r="I2" s="109" t="s">
        <v>397</v>
      </c>
      <c r="J2" s="99">
        <f>1/(1+G2)-1</f>
        <v>0.66666666666666674</v>
      </c>
      <c r="K2" s="107">
        <f>J3/D3-1</f>
        <v>0.12857142857142856</v>
      </c>
    </row>
    <row r="3" spans="1:11" x14ac:dyDescent="0.4">
      <c r="A3" s="111" t="s">
        <v>400</v>
      </c>
      <c r="B3" s="135">
        <f>B4+B5*2</f>
        <v>1.2</v>
      </c>
      <c r="C3" s="122">
        <v>2000</v>
      </c>
      <c r="D3" s="242">
        <f>SUM(D4:D6)</f>
        <v>5600</v>
      </c>
      <c r="E3" s="242"/>
      <c r="F3" s="100">
        <f>SUM(F4:F5)</f>
        <v>5400</v>
      </c>
      <c r="G3" s="243">
        <f>SUM(G4:G6)</f>
        <v>3440</v>
      </c>
      <c r="H3" s="243"/>
      <c r="I3" s="100">
        <f>SUM(I4:I6)</f>
        <v>3440</v>
      </c>
      <c r="J3" s="100">
        <f>SUM(J4:J6)</f>
        <v>6320</v>
      </c>
      <c r="K3" s="108">
        <f>J3-D3</f>
        <v>720</v>
      </c>
    </row>
    <row r="4" spans="1:11" x14ac:dyDescent="0.4">
      <c r="A4" s="110" t="s">
        <v>398</v>
      </c>
      <c r="B4" s="102">
        <v>0.6</v>
      </c>
      <c r="C4" s="103">
        <f>C3*B4</f>
        <v>1200</v>
      </c>
      <c r="D4" s="100">
        <f>C4*(1+D2)</f>
        <v>3000</v>
      </c>
      <c r="E4" s="101">
        <f>D4/D3</f>
        <v>0.5357142857142857</v>
      </c>
      <c r="F4" s="100">
        <f>SUM(D4:D5)</f>
        <v>5400</v>
      </c>
      <c r="G4" s="100">
        <f>F4*(1+G2)</f>
        <v>3240</v>
      </c>
      <c r="H4" s="101">
        <f>G4/G3</f>
        <v>0.94186046511627908</v>
      </c>
      <c r="I4" s="103">
        <f>G4*B4/(B4+B5)</f>
        <v>2160</v>
      </c>
      <c r="J4" s="100">
        <f>I4*(1+J2)</f>
        <v>3600</v>
      </c>
      <c r="K4" s="108">
        <f>J4-D4</f>
        <v>600</v>
      </c>
    </row>
    <row r="5" spans="1:11" x14ac:dyDescent="0.4">
      <c r="A5" s="110" t="s">
        <v>399</v>
      </c>
      <c r="B5" s="102">
        <v>0.3</v>
      </c>
      <c r="C5" s="103">
        <f>C3*B5</f>
        <v>600</v>
      </c>
      <c r="D5" s="100">
        <f>C5*(1+D2*2)</f>
        <v>2400</v>
      </c>
      <c r="E5" s="101">
        <f>D5/D3</f>
        <v>0.42857142857142855</v>
      </c>
      <c r="F5" s="100">
        <v>0</v>
      </c>
      <c r="G5" s="100">
        <f>F5*(1+J2*2)</f>
        <v>0</v>
      </c>
      <c r="H5" s="101">
        <f>G5/G3</f>
        <v>0</v>
      </c>
      <c r="I5" s="103">
        <f>G4*B5/(B4+B5)</f>
        <v>1080</v>
      </c>
      <c r="J5" s="100">
        <f>I5*(1+J2*2)</f>
        <v>2520</v>
      </c>
      <c r="K5" s="108">
        <f>J5-D5</f>
        <v>120</v>
      </c>
    </row>
    <row r="6" spans="1:11" x14ac:dyDescent="0.4">
      <c r="A6" s="110" t="s">
        <v>423</v>
      </c>
      <c r="B6" s="106">
        <f>1-B4-B5</f>
        <v>0.10000000000000003</v>
      </c>
      <c r="C6" s="103">
        <f>C3*B6</f>
        <v>200.00000000000006</v>
      </c>
      <c r="D6" s="100">
        <f>C6</f>
        <v>200.00000000000006</v>
      </c>
      <c r="E6" s="101">
        <f>D6/D3</f>
        <v>3.5714285714285726E-2</v>
      </c>
      <c r="F6" s="100">
        <f>C6</f>
        <v>200.00000000000006</v>
      </c>
      <c r="G6" s="100">
        <f>C6</f>
        <v>200.00000000000006</v>
      </c>
      <c r="H6" s="101">
        <f>G6/G3</f>
        <v>5.8139534883720943E-2</v>
      </c>
      <c r="I6" s="103">
        <f>C6</f>
        <v>200.00000000000006</v>
      </c>
      <c r="J6" s="100">
        <f>C6</f>
        <v>200.00000000000006</v>
      </c>
      <c r="K6" s="108">
        <f>J6-D6</f>
        <v>0</v>
      </c>
    </row>
    <row r="7" spans="1:11" ht="3" customHeight="1" x14ac:dyDescent="0.4">
      <c r="A7" s="244"/>
      <c r="B7" s="244"/>
      <c r="C7" s="244"/>
      <c r="D7" s="244"/>
      <c r="E7" s="244"/>
      <c r="F7" s="244"/>
      <c r="G7" s="244"/>
      <c r="H7" s="244"/>
      <c r="I7" s="244"/>
      <c r="J7" s="244"/>
      <c r="K7" s="244"/>
    </row>
    <row r="8" spans="1:11" ht="17" customHeight="1" x14ac:dyDescent="0.4">
      <c r="A8" s="245" t="s">
        <v>401</v>
      </c>
      <c r="B8" s="246" t="s">
        <v>402</v>
      </c>
      <c r="C8" s="247" t="s">
        <v>403</v>
      </c>
      <c r="D8" s="248" t="s">
        <v>393</v>
      </c>
      <c r="E8" s="248"/>
      <c r="F8" s="248"/>
      <c r="G8" s="248" t="s">
        <v>394</v>
      </c>
      <c r="H8" s="248"/>
      <c r="I8" s="248"/>
      <c r="J8" s="109" t="s">
        <v>395</v>
      </c>
      <c r="K8" s="109" t="s">
        <v>396</v>
      </c>
    </row>
    <row r="9" spans="1:11" x14ac:dyDescent="0.4">
      <c r="A9" s="245"/>
      <c r="B9" s="246"/>
      <c r="C9" s="247"/>
      <c r="D9" s="249">
        <v>1.5</v>
      </c>
      <c r="E9" s="249"/>
      <c r="F9" s="109" t="s">
        <v>397</v>
      </c>
      <c r="G9" s="249">
        <v>-0.2</v>
      </c>
      <c r="H9" s="249"/>
      <c r="I9" s="109" t="s">
        <v>397</v>
      </c>
      <c r="J9" s="99">
        <f>1/(1+G9)-1</f>
        <v>0.25</v>
      </c>
      <c r="K9" s="107">
        <f>J10/D10-1</f>
        <v>4.6000000000000041E-2</v>
      </c>
    </row>
    <row r="10" spans="1:11" x14ac:dyDescent="0.4">
      <c r="A10" s="111" t="s">
        <v>400</v>
      </c>
      <c r="B10" s="135">
        <f>B11+B12*2</f>
        <v>1</v>
      </c>
      <c r="C10" s="122">
        <v>2000</v>
      </c>
      <c r="D10" s="242">
        <f>SUM(D11:D13)</f>
        <v>5000</v>
      </c>
      <c r="E10" s="242"/>
      <c r="F10" s="100">
        <f>SUM(F11:F12)</f>
        <v>4600</v>
      </c>
      <c r="G10" s="243">
        <f>SUM(G11:G13)</f>
        <v>4080</v>
      </c>
      <c r="H10" s="243"/>
      <c r="I10" s="100">
        <f>SUM(I11:I13)</f>
        <v>4080</v>
      </c>
      <c r="J10" s="100">
        <f>SUM(J11:J13)</f>
        <v>5230</v>
      </c>
      <c r="K10" s="108">
        <f>J10-D10</f>
        <v>230</v>
      </c>
    </row>
    <row r="11" spans="1:11" x14ac:dyDescent="0.4">
      <c r="A11" s="110" t="s">
        <v>398</v>
      </c>
      <c r="B11" s="102">
        <v>0.6</v>
      </c>
      <c r="C11" s="103">
        <f>C10*B11</f>
        <v>1200</v>
      </c>
      <c r="D11" s="100">
        <f>C11*(1+D9)</f>
        <v>3000</v>
      </c>
      <c r="E11" s="101">
        <f>D11/D10</f>
        <v>0.6</v>
      </c>
      <c r="F11" s="100">
        <f>SUM(D11:D12)</f>
        <v>4600</v>
      </c>
      <c r="G11" s="100">
        <f>F11*(1+G9)</f>
        <v>3680</v>
      </c>
      <c r="H11" s="101">
        <f>G11/G10</f>
        <v>0.90196078431372551</v>
      </c>
      <c r="I11" s="103">
        <f>G11*B11/(B11+B12)</f>
        <v>2760</v>
      </c>
      <c r="J11" s="100">
        <f>I11*(1+J9)</f>
        <v>3450</v>
      </c>
      <c r="K11" s="108">
        <f>J11-D11</f>
        <v>450</v>
      </c>
    </row>
    <row r="12" spans="1:11" x14ac:dyDescent="0.4">
      <c r="A12" s="110" t="s">
        <v>399</v>
      </c>
      <c r="B12" s="102">
        <v>0.2</v>
      </c>
      <c r="C12" s="103">
        <f>C10*B12</f>
        <v>400</v>
      </c>
      <c r="D12" s="100">
        <f>C12*(1+D9*2)</f>
        <v>1600</v>
      </c>
      <c r="E12" s="101">
        <f>D12/D10</f>
        <v>0.32</v>
      </c>
      <c r="F12" s="100">
        <v>0</v>
      </c>
      <c r="G12" s="100">
        <f>F12*(1+J9*2)</f>
        <v>0</v>
      </c>
      <c r="H12" s="101">
        <f>G12/G10</f>
        <v>0</v>
      </c>
      <c r="I12" s="103">
        <f>G11*B12/(B11+B12)</f>
        <v>920</v>
      </c>
      <c r="J12" s="100">
        <f>I12*(1+J9*2)</f>
        <v>1380</v>
      </c>
      <c r="K12" s="108">
        <f>J12-D12</f>
        <v>-220</v>
      </c>
    </row>
    <row r="13" spans="1:11" x14ac:dyDescent="0.4">
      <c r="A13" s="110" t="s">
        <v>423</v>
      </c>
      <c r="B13" s="106">
        <f>1-B11-B12</f>
        <v>0.2</v>
      </c>
      <c r="C13" s="103">
        <f>C10*B13</f>
        <v>400</v>
      </c>
      <c r="D13" s="100">
        <f>C13</f>
        <v>400</v>
      </c>
      <c r="E13" s="101">
        <f>D13/D10</f>
        <v>0.08</v>
      </c>
      <c r="F13" s="100">
        <f>C13</f>
        <v>400</v>
      </c>
      <c r="G13" s="100">
        <f>C13</f>
        <v>400</v>
      </c>
      <c r="H13" s="101">
        <f>G13/G10</f>
        <v>9.8039215686274508E-2</v>
      </c>
      <c r="I13" s="103">
        <f>C13</f>
        <v>400</v>
      </c>
      <c r="J13" s="100">
        <f>C13</f>
        <v>400</v>
      </c>
      <c r="K13" s="108">
        <f>J13-D13</f>
        <v>0</v>
      </c>
    </row>
    <row r="14" spans="1:11" ht="3" customHeight="1" x14ac:dyDescent="0.4">
      <c r="A14" s="244"/>
      <c r="B14" s="244"/>
      <c r="C14" s="244"/>
      <c r="D14" s="244"/>
      <c r="E14" s="244"/>
      <c r="F14" s="244"/>
      <c r="G14" s="244"/>
      <c r="H14" s="244"/>
      <c r="I14" s="244"/>
      <c r="J14" s="244"/>
      <c r="K14" s="244"/>
    </row>
    <row r="15" spans="1:11" x14ac:dyDescent="0.4">
      <c r="A15" s="245" t="s">
        <v>401</v>
      </c>
      <c r="B15" s="246" t="s">
        <v>402</v>
      </c>
      <c r="C15" s="247" t="s">
        <v>403</v>
      </c>
      <c r="D15" s="248" t="s">
        <v>393</v>
      </c>
      <c r="E15" s="248"/>
      <c r="F15" s="248"/>
      <c r="G15" s="248" t="s">
        <v>394</v>
      </c>
      <c r="H15" s="248"/>
      <c r="I15" s="248"/>
      <c r="J15" s="109" t="s">
        <v>395</v>
      </c>
      <c r="K15" s="109" t="s">
        <v>396</v>
      </c>
    </row>
    <row r="16" spans="1:11" x14ac:dyDescent="0.4">
      <c r="A16" s="245"/>
      <c r="B16" s="246"/>
      <c r="C16" s="247"/>
      <c r="D16" s="249">
        <v>1.5</v>
      </c>
      <c r="E16" s="249"/>
      <c r="F16" s="109" t="s">
        <v>397</v>
      </c>
      <c r="G16" s="249">
        <v>-0.2</v>
      </c>
      <c r="H16" s="249"/>
      <c r="I16" s="109" t="s">
        <v>397</v>
      </c>
      <c r="J16" s="99">
        <f>1/(1+G16)-1</f>
        <v>0.25</v>
      </c>
      <c r="K16" s="107">
        <f>J17/D17-1</f>
        <v>4.0000000000000036E-2</v>
      </c>
    </row>
    <row r="17" spans="1:11" x14ac:dyDescent="0.4">
      <c r="A17" s="111" t="s">
        <v>400</v>
      </c>
      <c r="B17" s="135">
        <f>B18+B19*2</f>
        <v>1.2000000000000002</v>
      </c>
      <c r="C17" s="122">
        <v>2000</v>
      </c>
      <c r="D17" s="242">
        <f>SUM(D18:D20)</f>
        <v>5600</v>
      </c>
      <c r="E17" s="242"/>
      <c r="F17" s="100">
        <f>SUM(F18:F19)</f>
        <v>5600</v>
      </c>
      <c r="G17" s="243">
        <f>SUM(G18:G20)</f>
        <v>4480</v>
      </c>
      <c r="H17" s="243"/>
      <c r="I17" s="100">
        <f>SUM(I18:I20)</f>
        <v>4480</v>
      </c>
      <c r="J17" s="100">
        <f>SUM(J18:J20)</f>
        <v>5824</v>
      </c>
      <c r="K17" s="108">
        <f>J17-D17</f>
        <v>224</v>
      </c>
    </row>
    <row r="18" spans="1:11" x14ac:dyDescent="0.4">
      <c r="A18" s="110" t="s">
        <v>398</v>
      </c>
      <c r="B18" s="102">
        <v>0.8</v>
      </c>
      <c r="C18" s="103">
        <f>C17*B18</f>
        <v>1600</v>
      </c>
      <c r="D18" s="100">
        <f>C18*(1+D16)</f>
        <v>4000</v>
      </c>
      <c r="E18" s="101">
        <f>D18/D17</f>
        <v>0.7142857142857143</v>
      </c>
      <c r="F18" s="100">
        <f>SUM(D18:D19)</f>
        <v>5600</v>
      </c>
      <c r="G18" s="100">
        <f>F18*(1+G16)</f>
        <v>4480</v>
      </c>
      <c r="H18" s="101">
        <f>G18/G17</f>
        <v>1</v>
      </c>
      <c r="I18" s="103">
        <f>G18*B18/(B18+B19)</f>
        <v>3584</v>
      </c>
      <c r="J18" s="100">
        <f>I18*(1+J16)</f>
        <v>4480</v>
      </c>
      <c r="K18" s="108">
        <f>J18-D18</f>
        <v>480</v>
      </c>
    </row>
    <row r="19" spans="1:11" x14ac:dyDescent="0.4">
      <c r="A19" s="110" t="s">
        <v>399</v>
      </c>
      <c r="B19" s="102">
        <v>0.2</v>
      </c>
      <c r="C19" s="103">
        <f>C17*B19</f>
        <v>400</v>
      </c>
      <c r="D19" s="100">
        <f>C19*(1+D16*2)</f>
        <v>1600</v>
      </c>
      <c r="E19" s="101">
        <f>D19/D17</f>
        <v>0.2857142857142857</v>
      </c>
      <c r="F19" s="100">
        <v>0</v>
      </c>
      <c r="G19" s="100">
        <f>F19*(1+J16*2)</f>
        <v>0</v>
      </c>
      <c r="H19" s="101">
        <f>G19/G17</f>
        <v>0</v>
      </c>
      <c r="I19" s="103">
        <f>G18*B19/(B18+B19)</f>
        <v>896</v>
      </c>
      <c r="J19" s="100">
        <f>I19*(1+J16*2)</f>
        <v>1344</v>
      </c>
      <c r="K19" s="108">
        <f>J19-D19</f>
        <v>-256</v>
      </c>
    </row>
    <row r="20" spans="1:11" x14ac:dyDescent="0.4">
      <c r="A20" s="110" t="s">
        <v>423</v>
      </c>
      <c r="B20" s="106">
        <f>1-B18-B19</f>
        <v>0</v>
      </c>
      <c r="C20" s="103">
        <f>C17*B20</f>
        <v>0</v>
      </c>
      <c r="D20" s="100">
        <f>C20</f>
        <v>0</v>
      </c>
      <c r="E20" s="101">
        <f>D20/D17</f>
        <v>0</v>
      </c>
      <c r="F20" s="100">
        <f>C20</f>
        <v>0</v>
      </c>
      <c r="G20" s="100">
        <f>C20</f>
        <v>0</v>
      </c>
      <c r="H20" s="101">
        <f>G20/G17</f>
        <v>0</v>
      </c>
      <c r="I20" s="103">
        <f>C20</f>
        <v>0</v>
      </c>
      <c r="J20" s="100">
        <f>C20</f>
        <v>0</v>
      </c>
      <c r="K20" s="108">
        <f>J20-D20</f>
        <v>0</v>
      </c>
    </row>
  </sheetData>
  <sheetProtection algorithmName="SHA-512" hashValue="e9cd/1/tFekAl5NDyjbUywPgPH4r0vlN0eE9U7rsg8ozmNT/rXYRHKzuHFApYY5GHWexzcV5gORmrn0ezJYLiQ==" saltValue="glf7WriYrLKQcEIi23yjtQ==" spinCount="100000" sheet="1" objects="1" scenarios="1" formatColumns="0"/>
  <mergeCells count="29">
    <mergeCell ref="D10:E10"/>
    <mergeCell ref="G10:H10"/>
    <mergeCell ref="D8:F8"/>
    <mergeCell ref="G1:I1"/>
    <mergeCell ref="D2:E2"/>
    <mergeCell ref="G2:H2"/>
    <mergeCell ref="A1:A2"/>
    <mergeCell ref="C1:C2"/>
    <mergeCell ref="D1:F1"/>
    <mergeCell ref="G9:H9"/>
    <mergeCell ref="B1:B2"/>
    <mergeCell ref="C8:C9"/>
    <mergeCell ref="D9:E9"/>
    <mergeCell ref="D17:E17"/>
    <mergeCell ref="G17:H17"/>
    <mergeCell ref="A7:K7"/>
    <mergeCell ref="D3:E3"/>
    <mergeCell ref="G3:H3"/>
    <mergeCell ref="A15:A16"/>
    <mergeCell ref="B15:B16"/>
    <mergeCell ref="C15:C16"/>
    <mergeCell ref="D15:F15"/>
    <mergeCell ref="G15:I15"/>
    <mergeCell ref="D16:E16"/>
    <mergeCell ref="G16:H16"/>
    <mergeCell ref="B8:B9"/>
    <mergeCell ref="A14:K14"/>
    <mergeCell ref="G8:I8"/>
    <mergeCell ref="A8:A9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001歷史資料(年)</vt:lpstr>
      <vt:lpstr>002歷史資料(月)</vt:lpstr>
      <vt:lpstr>351定期定額回測</vt:lpstr>
      <vt:lpstr>352定期定股回測</vt:lpstr>
      <vt:lpstr>411退休金試算</vt:lpstr>
      <vt:lpstr>412退休金目標回測</vt:lpstr>
      <vt:lpstr>434資產配置回測</vt:lpstr>
      <vt:lpstr>434案例回測</vt:lpstr>
      <vt:lpstr>434一~七狀況回測</vt:lpstr>
      <vt:lpstr>451技術再平衡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MyBook</dc:title>
  <dc:creator>培乘 黃</dc:creator>
  <cp:lastModifiedBy>豐 乘</cp:lastModifiedBy>
  <dcterms:created xsi:type="dcterms:W3CDTF">2020-11-28T03:16:15Z</dcterms:created>
  <dcterms:modified xsi:type="dcterms:W3CDTF">2024-11-26T12:51:28Z</dcterms:modified>
</cp:coreProperties>
</file>